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sharedStrings.xml" ContentType="application/vnd.openxmlformats-officedocument.spreadsheetml.sharedStrings+xml"/>
  <Override PartName="/xl/charts/chart179.xml" ContentType="application/vnd.openxmlformats-officedocument.drawingml.chart+xml"/>
  <Override PartName="/xl/charts/chart178.xml" ContentType="application/vnd.openxmlformats-officedocument.drawingml.chart+xml"/>
  <Override PartName="/xl/charts/chart180.xml" ContentType="application/vnd.openxmlformats-officedocument.drawingml.chart+xml"/>
  <Override PartName="/xl/charts/chart174.xml" ContentType="application/vnd.openxmlformats-officedocument.drawingml.chart+xml"/>
  <Override PartName="/xl/charts/chart181.xml" ContentType="application/vnd.openxmlformats-officedocument.drawingml.chart+xml"/>
  <Override PartName="/xl/charts/chart175.xml" ContentType="application/vnd.openxmlformats-officedocument.drawingml.chart+xml"/>
  <Override PartName="/xl/charts/chart190.xml" ContentType="application/vnd.openxmlformats-officedocument.drawingml.chart+xml"/>
  <Override PartName="/xl/charts/chart182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85.xml" ContentType="application/vnd.openxmlformats-officedocument.drawingml.chart+xml"/>
  <Override PartName="/xl/charts/chart184.xml" ContentType="application/vnd.openxmlformats-officedocument.drawingml.chart+xml"/>
  <Override PartName="/xl/charts/chart177.xml" ContentType="application/vnd.openxmlformats-officedocument.drawingml.chart+xml"/>
  <Override PartName="/xl/charts/chart183.xml" ContentType="application/vnd.openxmlformats-officedocument.drawingml.chart+xml"/>
  <Override PartName="/xl/charts/chart191.xml" ContentType="application/vnd.openxmlformats-officedocument.drawingml.chart+xml"/>
  <Override PartName="/xl/charts/chart176.xml" ContentType="application/vnd.openxmlformats-officedocument.drawingml.chart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media/image24.png" ContentType="image/png"/>
  <Override PartName="/xl/media/image25.png" ContentType="image/png"/>
  <Override PartName="/xl/media/image26.png" ContentType="image/png"/>
  <Override PartName="/xl/styles.xml" ContentType="application/vnd.openxmlformats-officedocument.spreadsheetml.styl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3.xml.rels" ContentType="application/vnd.openxmlformats-package.relationships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drawing3.xml" ContentType="application/vnd.openxmlformats-officedocument.drawing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C. scutulatus" sheetId="1" state="visible" r:id="rId2"/>
    <sheet name="C. atrox" sheetId="2" state="visible" r:id="rId3"/>
    <sheet name="B. atrox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<sst xmlns="http://schemas.openxmlformats.org/spreadsheetml/2006/main" count="339" uniqueCount="82">
  <si>
    <t xml:space="preserve">Base Info:</t>
  </si>
  <si>
    <t xml:space="preserve">File Name:cscutulatusge</t>
  </si>
  <si>
    <t xml:space="preserve">Filter :450nm / Off</t>
  </si>
  <si>
    <t xml:space="preserve">Mode :Normal</t>
  </si>
  <si>
    <t xml:space="preserve">Shake :Off</t>
  </si>
  <si>
    <t xml:space="preserve">Speed :Slow</t>
  </si>
  <si>
    <t xml:space="preserve">Time :00 : 00 : 00</t>
  </si>
  <si>
    <t xml:space="preserve">Mode :First</t>
  </si>
  <si>
    <t xml:space="preserve">Pause Time :00 : 00 : 00</t>
  </si>
  <si>
    <t xml:space="preserve">Preprocess : Off</t>
  </si>
  <si>
    <t xml:space="preserve">Kinetic : Off</t>
  </si>
  <si>
    <t xml:space="preserve">Readings: 2</t>
  </si>
  <si>
    <t xml:space="preserve">Interval: 00 : 00 : 00</t>
  </si>
  <si>
    <t xml:space="preserve">Curves : On</t>
  </si>
  <si>
    <t xml:space="preserve">Interpret: Off</t>
  </si>
  <si>
    <t xml:space="preserve">Source: ABS</t>
  </si>
  <si>
    <t xml:space="preserve">Cutoff:</t>
  </si>
  <si>
    <t xml:space="preserve">NC Coef: 1.00</t>
  </si>
  <si>
    <t xml:space="preserve">PC Coef: 0.00</t>
  </si>
  <si>
    <t xml:space="preserve">Constant: 0.00</t>
  </si>
  <si>
    <t xml:space="preserve">Weak P: (+/- Cutoff%): 0.00</t>
  </si>
  <si>
    <t xml:space="preserve">Positive:  &gt;</t>
  </si>
  <si>
    <t xml:space="preserve">Quality: Off</t>
  </si>
  <si>
    <t xml:space="preserve">NO.</t>
  </si>
  <si>
    <t xml:space="preserve"> Target</t>
  </si>
  <si>
    <t xml:space="preserve"> SD</t>
  </si>
  <si>
    <t xml:space="preserve"> CV</t>
  </si>
  <si>
    <t xml:space="preserve"> Upper limit</t>
  </si>
  <si>
    <t xml:space="preserve"> Lower limit</t>
  </si>
  <si>
    <t xml:space="preserve"> </t>
  </si>
  <si>
    <t xml:space="preserve">Layout</t>
  </si>
  <si>
    <t xml:space="preserve">PASTE READINGS INTO THIS TABLE</t>
  </si>
  <si>
    <t xml:space="preserve">A</t>
  </si>
  <si>
    <t xml:space="preserve">B</t>
  </si>
  <si>
    <t xml:space="preserve">C</t>
  </si>
  <si>
    <t xml:space="preserve">D</t>
  </si>
  <si>
    <t xml:space="preserve">E</t>
  </si>
  <si>
    <t xml:space="preserve">F</t>
  </si>
  <si>
    <t xml:space="preserve">G</t>
  </si>
  <si>
    <t xml:space="preserve">H</t>
  </si>
  <si>
    <t xml:space="preserve">Absorbance data:</t>
  </si>
  <si>
    <t xml:space="preserve">Filter 1:450nm</t>
  </si>
  <si>
    <t xml:space="preserve">blank</t>
  </si>
  <si>
    <t xml:space="preserve">Readings: 1</t>
  </si>
  <si>
    <t xml:space="preserve">Dilution fraction</t>
  </si>
  <si>
    <t xml:space="preserve">Titer</t>
  </si>
  <si>
    <t xml:space="preserve">Dilution/titer</t>
  </si>
  <si>
    <t xml:space="preserve">Fraction</t>
  </si>
  <si>
    <t xml:space="preserve">TF</t>
  </si>
  <si>
    <t xml:space="preserve">BS</t>
  </si>
  <si>
    <t xml:space="preserve">RM</t>
  </si>
  <si>
    <t xml:space="preserve">DC</t>
  </si>
  <si>
    <t xml:space="preserve">AV</t>
  </si>
  <si>
    <t xml:space="preserve">CTL</t>
  </si>
  <si>
    <t xml:space="preserve">◄ Blank average</t>
  </si>
  <si>
    <t xml:space="preserve">Ave. TF</t>
  </si>
  <si>
    <t xml:space="preserve">Fit TF</t>
  </si>
  <si>
    <t xml:space="preserve">Ave. BS</t>
  </si>
  <si>
    <t xml:space="preserve">Fit BS</t>
  </si>
  <si>
    <t xml:space="preserve">Ave. RM</t>
  </si>
  <si>
    <t xml:space="preserve">Fit. RM</t>
  </si>
  <si>
    <t xml:space="preserve">Ave. DC</t>
  </si>
  <si>
    <t xml:space="preserve">Fit DC</t>
  </si>
  <si>
    <t xml:space="preserve">Ave. AV</t>
  </si>
  <si>
    <t xml:space="preserve">Fit AV</t>
  </si>
  <si>
    <t xml:space="preserve">Ave. CTL</t>
  </si>
  <si>
    <t xml:space="preserve">Fit CTL</t>
  </si>
  <si>
    <t xml:space="preserve">y</t>
  </si>
  <si>
    <t xml:space="preserve">y/CTL</t>
  </si>
  <si>
    <t xml:space="preserve">Parms for sigmoid</t>
  </si>
  <si>
    <t xml:space="preserve">Range limits</t>
  </si>
  <si>
    <t xml:space="preserve">Max</t>
  </si>
  <si>
    <t xml:space="preserve">a</t>
  </si>
  <si>
    <t xml:space="preserve">Slope</t>
  </si>
  <si>
    <t xml:space="preserve">b</t>
  </si>
  <si>
    <t xml:space="preserve">c</t>
  </si>
  <si>
    <t xml:space="preserve">Min</t>
  </si>
  <si>
    <t xml:space="preserve">d</t>
  </si>
  <si>
    <t xml:space="preserve">Δ Fit</t>
  </si>
  <si>
    <t xml:space="preserve">File Name:catroxige</t>
  </si>
  <si>
    <t xml:space="preserve">CDC</t>
  </si>
  <si>
    <t xml:space="preserve">File Name:batroxige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</si>
</sst>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[$$-409]#,##0.00;[RED]\-[$$-409]#,##0.00"/>
    <numFmt numFmtId="166" formatCode="#,##0"/>
    <numFmt numFmtId="167" formatCode="0.00000000"/>
    <numFmt numFmtId="168" formatCode="General"/>
    <numFmt numFmtId="169" formatCode="0.000"/>
    <numFmt numFmtId="170" formatCode="0.0"/>
    <numFmt numFmtId="171" formatCode="0"/>
  </numFmts>
  <fonts count="18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i val="true"/>
      <sz val="10"/>
      <color rgb="FF808080"/>
      <name val="Arial"/>
      <family val="2"/>
      <charset val="1"/>
    </font>
    <font>
      <b val="true"/>
      <i val="true"/>
      <sz val="16"/>
      <color rgb="FF000000"/>
      <name val="Arial"/>
      <family val="2"/>
      <charset val="1"/>
    </font>
    <font>
      <u val="single"/>
      <sz val="10"/>
      <color rgb="FF0000EE"/>
      <name val="Arial"/>
      <family val="2"/>
      <charset val="1"/>
    </font>
    <font>
      <b val="true"/>
      <i val="true"/>
      <u val="single"/>
      <sz val="11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sz val="12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9"/>
      <color rgb="FF595959"/>
      <name val="Calibri"/>
      <family val="2"/>
    </font>
    <font>
      <sz val="12"/>
      <color rgb="FF595959"/>
      <name val="Calibri"/>
      <family val="2"/>
    </font>
    <font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595959"/>
      </patternFill>
    </fill>
    <fill>
      <patternFill patternType="solid">
        <fgColor rgb="FFDDDDDD"/>
        <bgColor rgb="FFD9D9D9"/>
      </patternFill>
    </fill>
    <fill>
      <patternFill patternType="solid">
        <fgColor rgb="FFCC0000"/>
        <bgColor rgb="FFC00000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3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center" vertical="bottom" textRotation="9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4" fillId="6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4" fillId="6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6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4" fillId="6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7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2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2 6" xfId="21"/>
    <cellStyle name="Accent 3 7" xfId="22"/>
    <cellStyle name="Accent 4" xfId="23"/>
    <cellStyle name="Error 8" xfId="24"/>
    <cellStyle name="Footnote 9" xfId="25"/>
    <cellStyle name="Heading 10" xfId="26"/>
    <cellStyle name="Heading1" xfId="27"/>
    <cellStyle name="Hyperlink 11" xfId="28"/>
    <cellStyle name="Result 12" xfId="29"/>
    <cellStyle name="Result2" xfId="30"/>
    <cellStyle name="Status 13" xfId="31"/>
    <cellStyle name="Text 14" xfId="32"/>
    <cellStyle name="Warning 15" xfId="33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420E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595959"/>
      <rgbColor rgb="FF70AD47"/>
      <rgbColor rgb="FF003366"/>
      <rgbColor rgb="FF339966"/>
      <rgbColor rgb="FF003300"/>
      <rgbColor rgb="FF333300"/>
      <rgbColor rgb="FF9E480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6455610252928"/>
          <c:y val="0.0772178013557324"/>
          <c:w val="0.701748429808182"/>
          <c:h val="0.655172413793103"/>
        </c:manualLayout>
      </c:layout>
      <c:lineChart>
        <c:grouping val="standard"/>
        <c:varyColors val="0"/>
        <c:ser>
          <c:idx val="0"/>
          <c:order val="0"/>
          <c:tx>
            <c:strRef>
              <c:f>'C. scutulatus'!$H$57</c:f>
              <c:strCache>
                <c:ptCount val="1"/>
                <c:pt idx="0">
                  <c:v>Ave. BS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scutulatus'!$H$58:$H$65</c:f>
              <c:numCache>
                <c:formatCode>General</c:formatCode>
                <c:ptCount val="8"/>
                <c:pt idx="0">
                  <c:v>0.2465</c:v>
                </c:pt>
                <c:pt idx="1">
                  <c:v>0.3085</c:v>
                </c:pt>
                <c:pt idx="2">
                  <c:v>0.163</c:v>
                </c:pt>
                <c:pt idx="3">
                  <c:v>0.0415</c:v>
                </c:pt>
                <c:pt idx="4">
                  <c:v>0.0265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'C. scutulatus'!$I$57</c:f>
              <c:strCache>
                <c:ptCount val="1"/>
                <c:pt idx="0">
                  <c:v>Fit BS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scutulatus'!$I$58:$I$65</c:f>
              <c:numCache>
                <c:formatCode>General</c:formatCode>
                <c:ptCount val="8"/>
                <c:pt idx="0">
                  <c:v>0.289002681917831</c:v>
                </c:pt>
                <c:pt idx="1">
                  <c:v>0.249812986715027</c:v>
                </c:pt>
                <c:pt idx="2">
                  <c:v>0.169687102028464</c:v>
                </c:pt>
                <c:pt idx="3">
                  <c:v>0.0801585392749015</c:v>
                </c:pt>
                <c:pt idx="4">
                  <c:v>0.028252257163146</c:v>
                </c:pt>
                <c:pt idx="5">
                  <c:v>0.00867995939929022</c:v>
                </c:pt>
                <c:pt idx="6">
                  <c:v>0.00254367997833969</c:v>
                </c:pt>
                <c:pt idx="7">
                  <c:v>0.000734799011386634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'C. scutulatus'!$P$57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scutulatus'!$P$58:$P$65</c:f>
              <c:numCache>
                <c:formatCode>General</c:formatCode>
                <c:ptCount val="8"/>
                <c:pt idx="0">
                  <c:v>0.0505</c:v>
                </c:pt>
                <c:pt idx="1">
                  <c:v>0.02</c:v>
                </c:pt>
                <c:pt idx="2">
                  <c:v>0</c:v>
                </c:pt>
                <c:pt idx="3">
                  <c:v>0</c:v>
                </c:pt>
                <c:pt idx="4">
                  <c:v>0.0015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'C. scutulatus'!$Q$57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scutulatus'!$Q$58:$Q$65</c:f>
              <c:numCache>
                <c:formatCode>General</c:formatCode>
                <c:ptCount val="8"/>
                <c:pt idx="0">
                  <c:v>0.0463302752293578</c:v>
                </c:pt>
                <c:pt idx="1">
                  <c:v>0.0206967213114754</c:v>
                </c:pt>
                <c:pt idx="2">
                  <c:v>0.00210066555740433</c:v>
                </c:pt>
                <c:pt idx="3">
                  <c:v>0.000136619413483389</c:v>
                </c:pt>
                <c:pt idx="4">
                  <c:v>8.56042473267743E-006</c:v>
                </c:pt>
                <c:pt idx="5">
                  <c:v>5.3511158507045E-007</c:v>
                </c:pt>
                <c:pt idx="6">
                  <c:v>3.34448063076825E-008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67680608"/>
        <c:axId val="69327882"/>
      </c:lineChart>
      <c:catAx>
        <c:axId val="67680608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69327882"/>
        <c:crosses val="autoZero"/>
        <c:auto val="1"/>
        <c:lblAlgn val="ctr"/>
        <c:lblOffset val="100"/>
        <c:noMultiLvlLbl val="0"/>
      </c:catAx>
      <c:valAx>
        <c:axId val="6932788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67680608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27329825157"/>
          <c:y val="0.0318302387267904"/>
          <c:w val="0.207622442916561"/>
          <c:h val="0.3930729550479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252054562399"/>
          <c:y val="0.0770817980840088"/>
          <c:w val="0.701940184698805"/>
          <c:h val="0.6551215917465"/>
        </c:manualLayout>
      </c:layout>
      <c:lineChart>
        <c:grouping val="standard"/>
        <c:varyColors val="0"/>
        <c:ser>
          <c:idx val="0"/>
          <c:order val="0"/>
          <c:tx>
            <c:strRef>
              <c:f>'C. scutulatus'!$J$57</c:f>
              <c:strCache>
                <c:ptCount val="1"/>
                <c:pt idx="0">
                  <c:v>Ave. RM</c:v>
                </c:pt>
              </c:strCache>
            </c:strRef>
          </c:tx>
          <c:spPr>
            <a:solidFill>
              <a:srgbClr val="ffc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scutulatus'!$J$58:$J$65</c:f>
              <c:numCache>
                <c:formatCode>General</c:formatCode>
                <c:ptCount val="8"/>
                <c:pt idx="0">
                  <c:v>0.228</c:v>
                </c:pt>
                <c:pt idx="1">
                  <c:v>0.3905</c:v>
                </c:pt>
                <c:pt idx="2">
                  <c:v>0.2165</c:v>
                </c:pt>
                <c:pt idx="3">
                  <c:v>0.148</c:v>
                </c:pt>
                <c:pt idx="4">
                  <c:v>0.127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'C. scutulatus'!$K$57</c:f>
              <c:strCache>
                <c:ptCount val="1"/>
                <c:pt idx="0">
                  <c:v>Fit. RM</c:v>
                </c:pt>
              </c:strCache>
            </c:strRef>
          </c:tx>
          <c:spPr>
            <a:solidFill>
              <a:srgbClr val="ffc000"/>
            </a:solidFill>
            <a:ln cap="rnd" w="28440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scutulatus'!$K$58:$K$65</c:f>
              <c:numCache>
                <c:formatCode>General</c:formatCode>
                <c:ptCount val="8"/>
                <c:pt idx="0">
                  <c:v>0.298507462686567</c:v>
                </c:pt>
                <c:pt idx="1">
                  <c:v>0.294117647058823</c:v>
                </c:pt>
                <c:pt idx="2">
                  <c:v>0.277777777777778</c:v>
                </c:pt>
                <c:pt idx="3">
                  <c:v>0.227272727272727</c:v>
                </c:pt>
                <c:pt idx="4">
                  <c:v>0.131578947368421</c:v>
                </c:pt>
                <c:pt idx="5">
                  <c:v>0.0490196078431373</c:v>
                </c:pt>
                <c:pt idx="6">
                  <c:v>0.0139664804469274</c:v>
                </c:pt>
                <c:pt idx="7">
                  <c:v>0.00361794500723589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'C. scutulatus'!$P$57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scutulatus'!$P$58:$P$65</c:f>
              <c:numCache>
                <c:formatCode>General</c:formatCode>
                <c:ptCount val="8"/>
                <c:pt idx="0">
                  <c:v>0.0505</c:v>
                </c:pt>
                <c:pt idx="1">
                  <c:v>0.02</c:v>
                </c:pt>
                <c:pt idx="2">
                  <c:v>0</c:v>
                </c:pt>
                <c:pt idx="3">
                  <c:v>0</c:v>
                </c:pt>
                <c:pt idx="4">
                  <c:v>0.0015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'C. scutulatus'!$Q$57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scutulatus'!$Q$58:$Q$65</c:f>
              <c:numCache>
                <c:formatCode>General</c:formatCode>
                <c:ptCount val="8"/>
                <c:pt idx="0">
                  <c:v>0.0463302752293578</c:v>
                </c:pt>
                <c:pt idx="1">
                  <c:v>0.0206967213114754</c:v>
                </c:pt>
                <c:pt idx="2">
                  <c:v>0.00210066555740433</c:v>
                </c:pt>
                <c:pt idx="3">
                  <c:v>0.000136619413483389</c:v>
                </c:pt>
                <c:pt idx="4">
                  <c:v>8.56042473267743E-006</c:v>
                </c:pt>
                <c:pt idx="5">
                  <c:v>5.3511158507045E-007</c:v>
                </c:pt>
                <c:pt idx="6">
                  <c:v>3.34448063076825E-008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55953216"/>
        <c:axId val="87431240"/>
      </c:lineChart>
      <c:catAx>
        <c:axId val="55953216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87431240"/>
        <c:crosses val="autoZero"/>
        <c:auto val="1"/>
        <c:lblAlgn val="ctr"/>
        <c:lblOffset val="100"/>
        <c:noMultiLvlLbl val="0"/>
      </c:catAx>
      <c:valAx>
        <c:axId val="8743124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55953216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138100482928"/>
          <c:y val="0.0941783345615328"/>
          <c:w val="0.207676664972039"/>
          <c:h val="0.31530070754717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59549037891"/>
          <c:y val="0.0770817980840088"/>
          <c:w val="0.70195812494702"/>
          <c:h val="0.6551215917465"/>
        </c:manualLayout>
      </c:layout>
      <c:lineChart>
        <c:grouping val="standard"/>
        <c:varyColors val="0"/>
        <c:ser>
          <c:idx val="0"/>
          <c:order val="0"/>
          <c:tx>
            <c:strRef>
              <c:f>'C. scutulatus'!$L$57</c:f>
              <c:strCache>
                <c:ptCount val="1"/>
                <c:pt idx="0">
                  <c:v>Ave. DC</c:v>
                </c:pt>
              </c:strCache>
            </c:strRef>
          </c:tx>
          <c:spPr>
            <a:solidFill>
              <a:srgbClr val="4472c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scutulatus'!$L$58:$L$65</c:f>
              <c:numCache>
                <c:formatCode>General</c:formatCode>
                <c:ptCount val="8"/>
                <c:pt idx="0">
                  <c:v>0.36</c:v>
                </c:pt>
                <c:pt idx="1">
                  <c:v>0.3235</c:v>
                </c:pt>
                <c:pt idx="2">
                  <c:v>0.3195</c:v>
                </c:pt>
                <c:pt idx="3">
                  <c:v>0.3115</c:v>
                </c:pt>
                <c:pt idx="4">
                  <c:v>0.172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'C. scutulatus'!$M$57</c:f>
              <c:strCache>
                <c:ptCount val="1"/>
                <c:pt idx="0">
                  <c:v>Fit DC</c:v>
                </c:pt>
              </c:strCache>
            </c:strRef>
          </c:tx>
          <c:spPr>
            <a:solidFill>
              <a:srgbClr val="4472c4"/>
            </a:solidFill>
            <a:ln cap="rnd" w="2844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scutulatus'!$M$58:$M$65</c:f>
              <c:numCache>
                <c:formatCode>General</c:formatCode>
                <c:ptCount val="8"/>
                <c:pt idx="0">
                  <c:v>0.35894344276388</c:v>
                </c:pt>
                <c:pt idx="1">
                  <c:v>0.355196021141752</c:v>
                </c:pt>
                <c:pt idx="2">
                  <c:v>0.338937103238869</c:v>
                </c:pt>
                <c:pt idx="3">
                  <c:v>0.280038244144443</c:v>
                </c:pt>
                <c:pt idx="4">
                  <c:v>0.155709926167373</c:v>
                </c:pt>
                <c:pt idx="5">
                  <c:v>0.0512212778123389</c:v>
                </c:pt>
                <c:pt idx="6">
                  <c:v>0.0125440229364002</c:v>
                </c:pt>
                <c:pt idx="7">
                  <c:v>0.00280656131503334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'C. scutulatus'!$P$57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scutulatus'!$P$58:$P$65</c:f>
              <c:numCache>
                <c:formatCode>General</c:formatCode>
                <c:ptCount val="8"/>
                <c:pt idx="0">
                  <c:v>0.0505</c:v>
                </c:pt>
                <c:pt idx="1">
                  <c:v>0.02</c:v>
                </c:pt>
                <c:pt idx="2">
                  <c:v>0</c:v>
                </c:pt>
                <c:pt idx="3">
                  <c:v>0</c:v>
                </c:pt>
                <c:pt idx="4">
                  <c:v>0.0015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'C. scutulatus'!$Q$57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scutulatus'!$Q$58:$Q$65</c:f>
              <c:numCache>
                <c:formatCode>General</c:formatCode>
                <c:ptCount val="8"/>
                <c:pt idx="0">
                  <c:v>0.0463302752293578</c:v>
                </c:pt>
                <c:pt idx="1">
                  <c:v>0.0206967213114754</c:v>
                </c:pt>
                <c:pt idx="2">
                  <c:v>0.00210066555740433</c:v>
                </c:pt>
                <c:pt idx="3">
                  <c:v>0.000136619413483389</c:v>
                </c:pt>
                <c:pt idx="4">
                  <c:v>8.56042473267743E-006</c:v>
                </c:pt>
                <c:pt idx="5">
                  <c:v>5.3511158507045E-007</c:v>
                </c:pt>
                <c:pt idx="6">
                  <c:v>3.34448063076825E-008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97341163"/>
        <c:axId val="98447703"/>
      </c:lineChart>
      <c:catAx>
        <c:axId val="97341163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98447703"/>
        <c:crosses val="autoZero"/>
        <c:auto val="1"/>
        <c:lblAlgn val="ctr"/>
        <c:lblOffset val="100"/>
        <c:noMultiLvlLbl val="0"/>
      </c:catAx>
      <c:valAx>
        <c:axId val="98447703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97341163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116131219802"/>
          <c:y val="0.0319823139277819"/>
          <c:w val="0.207697524584605"/>
          <c:h val="0.460790094339623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216578902667"/>
          <c:y val="0.0770817980840088"/>
          <c:w val="0.70205537625276"/>
          <c:h val="0.6551215917465"/>
        </c:manualLayout>
      </c:layout>
      <c:lineChart>
        <c:grouping val="standard"/>
        <c:varyColors val="0"/>
        <c:ser>
          <c:idx val="0"/>
          <c:order val="0"/>
          <c:tx>
            <c:strRef>
              <c:f>'C. scutulatus'!$N$57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c00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c00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scutulatus'!$N$58:$N$65</c:f>
              <c:numCache>
                <c:formatCode>General</c:formatCode>
                <c:ptCount val="8"/>
                <c:pt idx="0">
                  <c:v>2.3725</c:v>
                </c:pt>
                <c:pt idx="1">
                  <c:v>1.6995</c:v>
                </c:pt>
                <c:pt idx="2">
                  <c:v>0.755</c:v>
                </c:pt>
                <c:pt idx="3">
                  <c:v>0.514</c:v>
                </c:pt>
                <c:pt idx="4">
                  <c:v>0.262</c:v>
                </c:pt>
                <c:pt idx="5">
                  <c:v>0.1905</c:v>
                </c:pt>
                <c:pt idx="6">
                  <c:v>0.1395</c:v>
                </c:pt>
                <c:pt idx="7">
                  <c:v>0.1475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'C. scutulatus'!$O$57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9e480e"/>
            </a:solidFill>
            <a:ln cap="rnd" w="28440">
              <a:solidFill>
                <a:srgbClr val="9e48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scutulatus'!$O$58:$O$65</c:f>
              <c:numCache>
                <c:formatCode>General</c:formatCode>
                <c:ptCount val="8"/>
                <c:pt idx="0">
                  <c:v>2.1695</c:v>
                </c:pt>
                <c:pt idx="1">
                  <c:v>1.7345</c:v>
                </c:pt>
                <c:pt idx="2">
                  <c:v>0.998346153846154</c:v>
                </c:pt>
                <c:pt idx="3">
                  <c:v>0.441256756756757</c:v>
                </c:pt>
                <c:pt idx="4">
                  <c:v>0.223447368421053</c:v>
                </c:pt>
                <c:pt idx="5">
                  <c:v>0.161095744680851</c:v>
                </c:pt>
                <c:pt idx="6">
                  <c:v>0.144938382854359</c:v>
                </c:pt>
                <c:pt idx="7">
                  <c:v>0.140862083689155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'C. scutulatus'!$P$57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scutulatus'!$P$58:$P$65</c:f>
              <c:numCache>
                <c:formatCode>General</c:formatCode>
                <c:ptCount val="8"/>
                <c:pt idx="0">
                  <c:v>0.0505</c:v>
                </c:pt>
                <c:pt idx="1">
                  <c:v>0.02</c:v>
                </c:pt>
                <c:pt idx="2">
                  <c:v>0</c:v>
                </c:pt>
                <c:pt idx="3">
                  <c:v>0</c:v>
                </c:pt>
                <c:pt idx="4">
                  <c:v>0.0015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'C. scutulatus'!$Q$57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scutulatus'!$Q$58:$Q$65</c:f>
              <c:numCache>
                <c:formatCode>General</c:formatCode>
                <c:ptCount val="8"/>
                <c:pt idx="0">
                  <c:v>0.0463302752293578</c:v>
                </c:pt>
                <c:pt idx="1">
                  <c:v>0.0206967213114754</c:v>
                </c:pt>
                <c:pt idx="2">
                  <c:v>0.00210066555740433</c:v>
                </c:pt>
                <c:pt idx="3">
                  <c:v>0.000136619413483389</c:v>
                </c:pt>
                <c:pt idx="4">
                  <c:v>8.56042473267743E-006</c:v>
                </c:pt>
                <c:pt idx="5">
                  <c:v>5.3511158507045E-007</c:v>
                </c:pt>
                <c:pt idx="6">
                  <c:v>3.34448063076825E-008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92694394"/>
        <c:axId val="65755161"/>
      </c:lineChart>
      <c:catAx>
        <c:axId val="92694394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65755161"/>
        <c:crosses val="autoZero"/>
        <c:auto val="1"/>
        <c:lblAlgn val="ctr"/>
        <c:lblOffset val="100"/>
        <c:noMultiLvlLbl val="0"/>
      </c:catAx>
      <c:valAx>
        <c:axId val="65755161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92694394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13079667063"/>
          <c:y val="0.0319823139277819"/>
          <c:w val="0.207678586596449"/>
          <c:h val="0.938826650943396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4788009076794"/>
          <c:y val="0.0281624154086413"/>
          <c:w val="0.701719813686851"/>
          <c:h val="0.85450286309214"/>
        </c:manualLayout>
      </c:layout>
      <c:lineChart>
        <c:grouping val="standard"/>
        <c:varyColors val="0"/>
        <c:ser>
          <c:idx val="0"/>
          <c:order val="0"/>
          <c:tx>
            <c:strRef>
              <c:f>'C. scutulatus'!$F$57</c:f>
              <c:strCache>
                <c:ptCount val="1"/>
                <c:pt idx="0">
                  <c:v>Ave. TF</c:v>
                </c:pt>
              </c:strCache>
            </c:strRef>
          </c:tx>
          <c:spPr>
            <a:solidFill>
              <a:srgbClr val="ff420e"/>
            </a:solidFill>
            <a:ln w="28800">
              <a:noFill/>
            </a:ln>
          </c:spPr>
          <c:marker>
            <c:symbol val="circle"/>
            <c:size val="8"/>
            <c:spPr>
              <a:solidFill>
                <a:srgbClr val="ff420e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scutulatus'!$F$58:$F$65</c:f>
              <c:numCache>
                <c:formatCode>General</c:formatCode>
                <c:ptCount val="8"/>
                <c:pt idx="0">
                  <c:v>0.3225</c:v>
                </c:pt>
                <c:pt idx="1">
                  <c:v>0.2795</c:v>
                </c:pt>
                <c:pt idx="2">
                  <c:v>0.117</c:v>
                </c:pt>
                <c:pt idx="3">
                  <c:v>0.0805</c:v>
                </c:pt>
                <c:pt idx="4">
                  <c:v>0.0405</c:v>
                </c:pt>
                <c:pt idx="5">
                  <c:v>0</c:v>
                </c:pt>
                <c:pt idx="6">
                  <c:v>0</c:v>
                </c:pt>
                <c:pt idx="7">
                  <c:v>0.0165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'C. scutulatus'!$G$57</c:f>
              <c:strCache>
                <c:ptCount val="1"/>
                <c:pt idx="0">
                  <c:v>Fit TF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scutulatus'!$G$58:$G$65</c:f>
              <c:numCache>
                <c:formatCode>General</c:formatCode>
                <c:ptCount val="8"/>
                <c:pt idx="0">
                  <c:v>0.304811320754717</c:v>
                </c:pt>
                <c:pt idx="1">
                  <c:v>0.262016129032258</c:v>
                </c:pt>
                <c:pt idx="2">
                  <c:v>0.169438775510204</c:v>
                </c:pt>
                <c:pt idx="3">
                  <c:v>0.0745661157024793</c:v>
                </c:pt>
                <c:pt idx="4">
                  <c:v>0.029101466992665</c:v>
                </c:pt>
                <c:pt idx="5">
                  <c:v>0.0150048046124279</c:v>
                </c:pt>
                <c:pt idx="6">
                  <c:v>0.0112664127087048</c:v>
                </c:pt>
                <c:pt idx="7">
                  <c:v>0.0103175683915288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'C. scutulatus'!$H$57</c:f>
              <c:strCache>
                <c:ptCount val="1"/>
                <c:pt idx="0">
                  <c:v>Ave. BS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scutulatus'!$H$58:$H$65</c:f>
              <c:numCache>
                <c:formatCode>General</c:formatCode>
                <c:ptCount val="8"/>
                <c:pt idx="0">
                  <c:v>0.2465</c:v>
                </c:pt>
                <c:pt idx="1">
                  <c:v>0.3085</c:v>
                </c:pt>
                <c:pt idx="2">
                  <c:v>0.163</c:v>
                </c:pt>
                <c:pt idx="3">
                  <c:v>0.0415</c:v>
                </c:pt>
                <c:pt idx="4">
                  <c:v>0.0265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'C. scutulatus'!$I$57</c:f>
              <c:strCache>
                <c:ptCount val="1"/>
                <c:pt idx="0">
                  <c:v>Fit BS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scutulatus'!$I$58:$I$65</c:f>
              <c:numCache>
                <c:formatCode>General</c:formatCode>
                <c:ptCount val="8"/>
                <c:pt idx="0">
                  <c:v>0.289002681917831</c:v>
                </c:pt>
                <c:pt idx="1">
                  <c:v>0.249812986715027</c:v>
                </c:pt>
                <c:pt idx="2">
                  <c:v>0.169687102028464</c:v>
                </c:pt>
                <c:pt idx="3">
                  <c:v>0.0801585392749015</c:v>
                </c:pt>
                <c:pt idx="4">
                  <c:v>0.028252257163146</c:v>
                </c:pt>
                <c:pt idx="5">
                  <c:v>0.00867995939929022</c:v>
                </c:pt>
                <c:pt idx="6">
                  <c:v>0.00254367997833969</c:v>
                </c:pt>
                <c:pt idx="7">
                  <c:v>0.000734799011386634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'C. scutulatus'!$J$57</c:f>
              <c:strCache>
                <c:ptCount val="1"/>
                <c:pt idx="0">
                  <c:v>Ave. RM</c:v>
                </c:pt>
              </c:strCache>
            </c:strRef>
          </c:tx>
          <c:spPr>
            <a:solidFill>
              <a:srgbClr val="ffc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scutulatus'!$J$58:$J$65</c:f>
              <c:numCache>
                <c:formatCode>General</c:formatCode>
                <c:ptCount val="8"/>
                <c:pt idx="0">
                  <c:v>0.228</c:v>
                </c:pt>
                <c:pt idx="1">
                  <c:v>0.3905</c:v>
                </c:pt>
                <c:pt idx="2">
                  <c:v>0.2165</c:v>
                </c:pt>
                <c:pt idx="3">
                  <c:v>0.148</c:v>
                </c:pt>
                <c:pt idx="4">
                  <c:v>0.127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1"/>
        </c:ser>
        <c:ser>
          <c:idx val="5"/>
          <c:order val="5"/>
          <c:tx>
            <c:strRef>
              <c:f>'C. scutulatus'!$K$57</c:f>
              <c:strCache>
                <c:ptCount val="1"/>
                <c:pt idx="0">
                  <c:v>Fit. RM</c:v>
                </c:pt>
              </c:strCache>
            </c:strRef>
          </c:tx>
          <c:spPr>
            <a:solidFill>
              <a:srgbClr val="ffc000"/>
            </a:solidFill>
            <a:ln cap="rnd" w="28440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scutulatus'!$K$58:$K$65</c:f>
              <c:numCache>
                <c:formatCode>General</c:formatCode>
                <c:ptCount val="8"/>
                <c:pt idx="0">
                  <c:v>0.298507462686567</c:v>
                </c:pt>
                <c:pt idx="1">
                  <c:v>0.294117647058823</c:v>
                </c:pt>
                <c:pt idx="2">
                  <c:v>0.277777777777778</c:v>
                </c:pt>
                <c:pt idx="3">
                  <c:v>0.227272727272727</c:v>
                </c:pt>
                <c:pt idx="4">
                  <c:v>0.131578947368421</c:v>
                </c:pt>
                <c:pt idx="5">
                  <c:v>0.0490196078431373</c:v>
                </c:pt>
                <c:pt idx="6">
                  <c:v>0.0139664804469274</c:v>
                </c:pt>
                <c:pt idx="7">
                  <c:v>0.00361794500723589</c:v>
                </c:pt>
              </c:numCache>
            </c:numRef>
          </c:val>
          <c:smooth val="1"/>
        </c:ser>
        <c:ser>
          <c:idx val="6"/>
          <c:order val="6"/>
          <c:tx>
            <c:strRef>
              <c:f>'C. scutulatus'!$L$57</c:f>
              <c:strCache>
                <c:ptCount val="1"/>
                <c:pt idx="0">
                  <c:v>Ave. DC</c:v>
                </c:pt>
              </c:strCache>
            </c:strRef>
          </c:tx>
          <c:spPr>
            <a:solidFill>
              <a:srgbClr val="4472c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scutulatus'!$L$58:$L$65</c:f>
              <c:numCache>
                <c:formatCode>General</c:formatCode>
                <c:ptCount val="8"/>
                <c:pt idx="0">
                  <c:v>0.36</c:v>
                </c:pt>
                <c:pt idx="1">
                  <c:v>0.3235</c:v>
                </c:pt>
                <c:pt idx="2">
                  <c:v>0.3195</c:v>
                </c:pt>
                <c:pt idx="3">
                  <c:v>0.3115</c:v>
                </c:pt>
                <c:pt idx="4">
                  <c:v>0.172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1"/>
        </c:ser>
        <c:ser>
          <c:idx val="7"/>
          <c:order val="7"/>
          <c:tx>
            <c:strRef>
              <c:f>'C. scutulatus'!$M$57</c:f>
              <c:strCache>
                <c:ptCount val="1"/>
                <c:pt idx="0">
                  <c:v>Fit DC</c:v>
                </c:pt>
              </c:strCache>
            </c:strRef>
          </c:tx>
          <c:spPr>
            <a:solidFill>
              <a:srgbClr val="4472c4"/>
            </a:solidFill>
            <a:ln cap="rnd" w="2844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scutulatus'!$M$58:$M$65</c:f>
              <c:numCache>
                <c:formatCode>General</c:formatCode>
                <c:ptCount val="8"/>
                <c:pt idx="0">
                  <c:v>0.35894344276388</c:v>
                </c:pt>
                <c:pt idx="1">
                  <c:v>0.355196021141752</c:v>
                </c:pt>
                <c:pt idx="2">
                  <c:v>0.338937103238869</c:v>
                </c:pt>
                <c:pt idx="3">
                  <c:v>0.280038244144443</c:v>
                </c:pt>
                <c:pt idx="4">
                  <c:v>0.155709926167373</c:v>
                </c:pt>
                <c:pt idx="5">
                  <c:v>0.0512212778123389</c:v>
                </c:pt>
                <c:pt idx="6">
                  <c:v>0.0125440229364002</c:v>
                </c:pt>
                <c:pt idx="7">
                  <c:v>0.00280656131503334</c:v>
                </c:pt>
              </c:numCache>
            </c:numRef>
          </c:val>
          <c:smooth val="1"/>
        </c:ser>
        <c:ser>
          <c:idx val="8"/>
          <c:order val="8"/>
          <c:tx>
            <c:strRef>
              <c:f>'C. scutulatus'!$P$57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scutulatus'!$P$58:$P$65</c:f>
              <c:numCache>
                <c:formatCode>General</c:formatCode>
                <c:ptCount val="8"/>
                <c:pt idx="0">
                  <c:v>0.0505</c:v>
                </c:pt>
                <c:pt idx="1">
                  <c:v>0.02</c:v>
                </c:pt>
                <c:pt idx="2">
                  <c:v>0</c:v>
                </c:pt>
                <c:pt idx="3">
                  <c:v>0</c:v>
                </c:pt>
                <c:pt idx="4">
                  <c:v>0.0015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1"/>
        </c:ser>
        <c:ser>
          <c:idx val="9"/>
          <c:order val="9"/>
          <c:tx>
            <c:strRef>
              <c:f>'C. scutulatus'!$Q$57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scutulatus'!$Q$58:$Q$65</c:f>
              <c:numCache>
                <c:formatCode>General</c:formatCode>
                <c:ptCount val="8"/>
                <c:pt idx="0">
                  <c:v>0.0463302752293578</c:v>
                </c:pt>
                <c:pt idx="1">
                  <c:v>0.0206967213114754</c:v>
                </c:pt>
                <c:pt idx="2">
                  <c:v>0.00210066555740433</c:v>
                </c:pt>
                <c:pt idx="3">
                  <c:v>0.000136619413483389</c:v>
                </c:pt>
                <c:pt idx="4">
                  <c:v>8.56042473267743E-006</c:v>
                </c:pt>
                <c:pt idx="5">
                  <c:v>5.3511158507045E-007</c:v>
                </c:pt>
                <c:pt idx="6">
                  <c:v>3.34448063076825E-008</c:v>
                </c:pt>
              </c:numCache>
            </c:numRef>
          </c:val>
          <c:smooth val="1"/>
        </c:ser>
        <c:hiLowLines>
          <c:spPr>
            <a:ln w="0">
              <a:noFill/>
            </a:ln>
          </c:spPr>
        </c:hiLowLines>
        <c:marker val="1"/>
        <c:axId val="6728444"/>
        <c:axId val="38504012"/>
      </c:lineChart>
      <c:catAx>
        <c:axId val="6728444"/>
        <c:scaling>
          <c:orientation val="minMax"/>
        </c:scaling>
        <c:delete val="0"/>
        <c:axPos val="b"/>
        <c:majorGridlines>
          <c:spPr>
            <a:ln w="0">
              <a:solidFill>
                <a:srgbClr val="b3b3b3"/>
              </a:solidFill>
            </a:ln>
          </c:spPr>
        </c:majorGridlines>
        <c:minorGridlines>
          <c:spPr>
            <a:ln w="0">
              <a:solidFill>
                <a:srgbClr val="dddddd"/>
              </a:solidFill>
            </a:ln>
          </c:spPr>
        </c:minorGridlines>
        <c:title>
          <c:tx>
            <c:rich>
              <a:bodyPr rot="0"/>
              <a:lstStyle/>
              <a:p>
                <a:pPr>
                  <a:defRPr b="0" lang="en-US" sz="1200" spc="-1" strike="noStrike">
                    <a:latin typeface="Arial"/>
                  </a:defRPr>
                </a:pPr>
                <a:r>
                  <a:rPr b="0" lang="en-US" sz="1200" spc="-1" strike="noStrike">
                    <a:latin typeface="Arial"/>
                  </a:rPr>
                  <a:t>Titer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12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38504012"/>
        <c:crosses val="autoZero"/>
        <c:auto val="1"/>
        <c:lblAlgn val="ctr"/>
        <c:lblOffset val="100"/>
        <c:noMultiLvlLbl val="0"/>
      </c:catAx>
      <c:valAx>
        <c:axId val="3850401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0">
              <a:solidFill>
                <a:srgbClr val="dddddd"/>
              </a:solidFill>
            </a:ln>
          </c:spPr>
        </c:min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6728444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78753135077033"/>
          <c:y val="0.217282665278501"/>
          <c:w val="0.207703792176769"/>
          <c:h val="0.47082096933729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6455610252928"/>
          <c:y val="0.0772291820191599"/>
          <c:w val="0.701748429808182"/>
          <c:h val="0.6551215917465"/>
        </c:manualLayout>
      </c:layout>
      <c:lineChart>
        <c:grouping val="standard"/>
        <c:varyColors val="0"/>
        <c:ser>
          <c:idx val="0"/>
          <c:order val="0"/>
          <c:tx>
            <c:strRef>
              <c:f>'C. scutulatus'!$F$57</c:f>
              <c:strCache>
                <c:ptCount val="1"/>
                <c:pt idx="0">
                  <c:v>Ave. TF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scutulatus'!$F$58:$F$65</c:f>
              <c:numCache>
                <c:formatCode>General</c:formatCode>
                <c:ptCount val="8"/>
                <c:pt idx="0">
                  <c:v>0.3225</c:v>
                </c:pt>
                <c:pt idx="1">
                  <c:v>0.2795</c:v>
                </c:pt>
                <c:pt idx="2">
                  <c:v>0.117</c:v>
                </c:pt>
                <c:pt idx="3">
                  <c:v>0.0805</c:v>
                </c:pt>
                <c:pt idx="4">
                  <c:v>0.0405</c:v>
                </c:pt>
                <c:pt idx="5">
                  <c:v>0</c:v>
                </c:pt>
                <c:pt idx="6">
                  <c:v>0</c:v>
                </c:pt>
                <c:pt idx="7">
                  <c:v>0.0165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'C. scutulatus'!$G$57</c:f>
              <c:strCache>
                <c:ptCount val="1"/>
                <c:pt idx="0">
                  <c:v>Fit TF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scutulatus'!$G$58:$G$65</c:f>
              <c:numCache>
                <c:formatCode>General</c:formatCode>
                <c:ptCount val="8"/>
                <c:pt idx="0">
                  <c:v>0.304811320754717</c:v>
                </c:pt>
                <c:pt idx="1">
                  <c:v>0.262016129032258</c:v>
                </c:pt>
                <c:pt idx="2">
                  <c:v>0.169438775510204</c:v>
                </c:pt>
                <c:pt idx="3">
                  <c:v>0.0745661157024793</c:v>
                </c:pt>
                <c:pt idx="4">
                  <c:v>0.029101466992665</c:v>
                </c:pt>
                <c:pt idx="5">
                  <c:v>0.0150048046124279</c:v>
                </c:pt>
                <c:pt idx="6">
                  <c:v>0.0112664127087048</c:v>
                </c:pt>
                <c:pt idx="7">
                  <c:v>0.0103175683915288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'C. scutulatus'!$P$57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scutulatus'!$P$58:$P$65</c:f>
              <c:numCache>
                <c:formatCode>General</c:formatCode>
                <c:ptCount val="8"/>
                <c:pt idx="0">
                  <c:v>0.0505</c:v>
                </c:pt>
                <c:pt idx="1">
                  <c:v>0.02</c:v>
                </c:pt>
                <c:pt idx="2">
                  <c:v>0</c:v>
                </c:pt>
                <c:pt idx="3">
                  <c:v>0</c:v>
                </c:pt>
                <c:pt idx="4">
                  <c:v>0.0015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'C. scutulatus'!$Q$57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scutulatus'!$E$46:$E$53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scutulatus'!$Q$58:$Q$65</c:f>
              <c:numCache>
                <c:formatCode>General</c:formatCode>
                <c:ptCount val="8"/>
                <c:pt idx="0">
                  <c:v>0.0463302752293578</c:v>
                </c:pt>
                <c:pt idx="1">
                  <c:v>0.0206967213114754</c:v>
                </c:pt>
                <c:pt idx="2">
                  <c:v>0.00210066555740433</c:v>
                </c:pt>
                <c:pt idx="3">
                  <c:v>0.000136619413483389</c:v>
                </c:pt>
                <c:pt idx="4">
                  <c:v>8.56042473267743E-006</c:v>
                </c:pt>
                <c:pt idx="5">
                  <c:v>5.3511158507045E-007</c:v>
                </c:pt>
                <c:pt idx="6">
                  <c:v>3.34448063076825E-008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88238646"/>
        <c:axId val="63541801"/>
      </c:lineChart>
      <c:catAx>
        <c:axId val="88238646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63541801"/>
        <c:crosses val="autoZero"/>
        <c:auto val="1"/>
        <c:lblAlgn val="ctr"/>
        <c:lblOffset val="100"/>
        <c:noMultiLvlLbl val="0"/>
      </c:catAx>
      <c:valAx>
        <c:axId val="63541801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88238646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27329825157"/>
          <c:y val="0.0319823139277819"/>
          <c:w val="0.207622442916561"/>
          <c:h val="0.393278301886792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8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6455610252928"/>
          <c:y val="0.0772178013557324"/>
          <c:w val="0.701748429808182"/>
          <c:h val="0.655172413793103"/>
        </c:manualLayout>
      </c:layout>
      <c:lineChart>
        <c:grouping val="standard"/>
        <c:varyColors val="0"/>
        <c:ser>
          <c:idx val="0"/>
          <c:order val="0"/>
          <c:tx>
            <c:strRef>
              <c:f>'C. atrox'!$H$57</c:f>
              <c:strCache>
                <c:ptCount val="1"/>
                <c:pt idx="0">
                  <c:v>Ave. BS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atrox'!$H$58:$H$65</c:f>
              <c:numCache>
                <c:formatCode>General</c:formatCode>
                <c:ptCount val="8"/>
                <c:pt idx="0">
                  <c:v>0.377</c:v>
                </c:pt>
                <c:pt idx="1">
                  <c:v>0.4435</c:v>
                </c:pt>
                <c:pt idx="2">
                  <c:v>0.3285</c:v>
                </c:pt>
                <c:pt idx="3">
                  <c:v>0.2625</c:v>
                </c:pt>
                <c:pt idx="4">
                  <c:v>0.164</c:v>
                </c:pt>
                <c:pt idx="5">
                  <c:v>0</c:v>
                </c:pt>
                <c:pt idx="6">
                  <c:v>0</c:v>
                </c:pt>
                <c:pt idx="7">
                  <c:v>0.068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'C. atrox'!$I$57</c:f>
              <c:strCache>
                <c:ptCount val="1"/>
                <c:pt idx="0">
                  <c:v>Fit BS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atrox'!$I$58:$I$65</c:f>
              <c:numCache>
                <c:formatCode>General</c:formatCode>
                <c:ptCount val="8"/>
                <c:pt idx="0">
                  <c:v>0.436580662795749</c:v>
                </c:pt>
                <c:pt idx="1">
                  <c:v>0.420303776509052</c:v>
                </c:pt>
                <c:pt idx="2">
                  <c:v>0.372007611006823</c:v>
                </c:pt>
                <c:pt idx="3">
                  <c:v>0.265694659364186</c:v>
                </c:pt>
                <c:pt idx="4">
                  <c:v>0.133170298861854</c:v>
                </c:pt>
                <c:pt idx="5">
                  <c:v>0.048657913024785</c:v>
                </c:pt>
                <c:pt idx="6">
                  <c:v>0.0151588361652096</c:v>
                </c:pt>
                <c:pt idx="7">
                  <c:v>0.00446194507808496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'C. atrox'!$P$57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atrox'!$P$58:$P$65</c:f>
              <c:numCache>
                <c:formatCode>General</c:formatCode>
                <c:ptCount val="8"/>
                <c:pt idx="0">
                  <c:v>0.1565</c:v>
                </c:pt>
                <c:pt idx="1">
                  <c:v>0.1745</c:v>
                </c:pt>
                <c:pt idx="2">
                  <c:v>0.094</c:v>
                </c:pt>
                <c:pt idx="3">
                  <c:v>0.114</c:v>
                </c:pt>
                <c:pt idx="4">
                  <c:v>0.1</c:v>
                </c:pt>
                <c:pt idx="5">
                  <c:v>0.125</c:v>
                </c:pt>
                <c:pt idx="6">
                  <c:v>0.2065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'C. atrox'!$Q$57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atrox'!$Q$58:$Q$65</c:f>
              <c:numCache>
                <c:formatCode>General</c:formatCode>
                <c:ptCount val="8"/>
                <c:pt idx="0">
                  <c:v>0.202403846153846</c:v>
                </c:pt>
                <c:pt idx="1">
                  <c:v>0.164939024390244</c:v>
                </c:pt>
                <c:pt idx="2">
                  <c:v>0.109475088967972</c:v>
                </c:pt>
                <c:pt idx="3">
                  <c:v>0.100646081048289</c:v>
                </c:pt>
                <c:pt idx="4">
                  <c:v>0.100040611033999</c:v>
                </c:pt>
                <c:pt idx="5">
                  <c:v>0.100002539097331</c:v>
                </c:pt>
                <c:pt idx="6">
                  <c:v>0.10000015869713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76928754"/>
        <c:axId val="70352149"/>
      </c:lineChart>
      <c:catAx>
        <c:axId val="76928754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70352149"/>
        <c:crosses val="autoZero"/>
        <c:auto val="1"/>
        <c:lblAlgn val="ctr"/>
        <c:lblOffset val="100"/>
        <c:noMultiLvlLbl val="0"/>
      </c:catAx>
      <c:valAx>
        <c:axId val="7035214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76928754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358173484977"/>
          <c:y val="0.0322723253757737"/>
          <c:w val="0.207707325354384"/>
          <c:h val="0.393367722918202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8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252054562399"/>
          <c:y val="0.0770817980840088"/>
          <c:w val="0.701940184698805"/>
          <c:h val="0.6551215917465"/>
        </c:manualLayout>
      </c:layout>
      <c:lineChart>
        <c:grouping val="standard"/>
        <c:varyColors val="0"/>
        <c:ser>
          <c:idx val="0"/>
          <c:order val="0"/>
          <c:tx>
            <c:strRef>
              <c:f>'C. atrox'!$J$57</c:f>
              <c:strCache>
                <c:ptCount val="1"/>
                <c:pt idx="0">
                  <c:v>Ave. RM</c:v>
                </c:pt>
              </c:strCache>
            </c:strRef>
          </c:tx>
          <c:spPr>
            <a:solidFill>
              <a:srgbClr val="ffc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atrox'!$J$58:$J$65</c:f>
              <c:numCache>
                <c:formatCode>General</c:formatCode>
                <c:ptCount val="8"/>
                <c:pt idx="0">
                  <c:v>0.2825</c:v>
                </c:pt>
                <c:pt idx="1">
                  <c:v>0.1995</c:v>
                </c:pt>
                <c:pt idx="2">
                  <c:v>0.085</c:v>
                </c:pt>
                <c:pt idx="3">
                  <c:v>0.022</c:v>
                </c:pt>
                <c:pt idx="4">
                  <c:v>0.02125</c:v>
                </c:pt>
                <c:pt idx="5">
                  <c:v>0</c:v>
                </c:pt>
                <c:pt idx="6">
                  <c:v>0</c:v>
                </c:pt>
                <c:pt idx="7">
                  <c:v>0.00774999999999999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'C. atrox'!$K$57</c:f>
              <c:strCache>
                <c:ptCount val="1"/>
                <c:pt idx="0">
                  <c:v>Fit. RM</c:v>
                </c:pt>
              </c:strCache>
            </c:strRef>
          </c:tx>
          <c:spPr>
            <a:solidFill>
              <a:srgbClr val="ffc000"/>
            </a:solidFill>
            <a:ln cap="rnd" w="28440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atrox'!$K$58:$K$65</c:f>
              <c:numCache>
                <c:formatCode>General</c:formatCode>
                <c:ptCount val="8"/>
                <c:pt idx="0">
                  <c:v>0.271225372969174</c:v>
                </c:pt>
                <c:pt idx="1">
                  <c:v>0.211998952333984</c:v>
                </c:pt>
                <c:pt idx="2">
                  <c:v>0.0771767242865099</c:v>
                </c:pt>
                <c:pt idx="3">
                  <c:v>0.0126775756301537</c:v>
                </c:pt>
                <c:pt idx="4">
                  <c:v>0.00164946626034181</c:v>
                </c:pt>
                <c:pt idx="5">
                  <c:v>0.000207242075320048</c:v>
                </c:pt>
                <c:pt idx="6">
                  <c:v>2.59218986878211E-005</c:v>
                </c:pt>
                <c:pt idx="7">
                  <c:v>3.24049751249866E-006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'C. atrox'!$P$57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atrox'!$P$58:$P$65</c:f>
              <c:numCache>
                <c:formatCode>General</c:formatCode>
                <c:ptCount val="8"/>
                <c:pt idx="0">
                  <c:v>0.1565</c:v>
                </c:pt>
                <c:pt idx="1">
                  <c:v>0.1745</c:v>
                </c:pt>
                <c:pt idx="2">
                  <c:v>0.094</c:v>
                </c:pt>
                <c:pt idx="3">
                  <c:v>0.114</c:v>
                </c:pt>
                <c:pt idx="4">
                  <c:v>0.1</c:v>
                </c:pt>
                <c:pt idx="5">
                  <c:v>0.125</c:v>
                </c:pt>
                <c:pt idx="6">
                  <c:v>0.2065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'C. atrox'!$Q$57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atrox'!$Q$58:$Q$65</c:f>
              <c:numCache>
                <c:formatCode>General</c:formatCode>
                <c:ptCount val="8"/>
                <c:pt idx="0">
                  <c:v>0.202403846153846</c:v>
                </c:pt>
                <c:pt idx="1">
                  <c:v>0.164939024390244</c:v>
                </c:pt>
                <c:pt idx="2">
                  <c:v>0.109475088967972</c:v>
                </c:pt>
                <c:pt idx="3">
                  <c:v>0.100646081048289</c:v>
                </c:pt>
                <c:pt idx="4">
                  <c:v>0.100040611033999</c:v>
                </c:pt>
                <c:pt idx="5">
                  <c:v>0.100002539097331</c:v>
                </c:pt>
                <c:pt idx="6">
                  <c:v>0.10000015869713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27331449"/>
        <c:axId val="69533810"/>
      </c:lineChart>
      <c:catAx>
        <c:axId val="27331449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69533810"/>
        <c:crosses val="autoZero"/>
        <c:auto val="1"/>
        <c:lblAlgn val="ctr"/>
        <c:lblOffset val="100"/>
        <c:noMultiLvlLbl val="0"/>
      </c:catAx>
      <c:valAx>
        <c:axId val="6953381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27331449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222824705583"/>
          <c:y val="0.094620486366986"/>
          <c:w val="0.207846127774953"/>
          <c:h val="0.315448113207547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8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59549037891"/>
          <c:y val="0.0770817980840088"/>
          <c:w val="0.70195812494702"/>
          <c:h val="0.6551215917465"/>
        </c:manualLayout>
      </c:layout>
      <c:lineChart>
        <c:grouping val="standard"/>
        <c:varyColors val="0"/>
        <c:ser>
          <c:idx val="0"/>
          <c:order val="0"/>
          <c:tx>
            <c:strRef>
              <c:f>'C. atrox'!$L$57</c:f>
              <c:strCache>
                <c:ptCount val="1"/>
                <c:pt idx="0">
                  <c:v>Ave. DC</c:v>
                </c:pt>
              </c:strCache>
            </c:strRef>
          </c:tx>
          <c:spPr>
            <a:solidFill>
              <a:srgbClr val="4472c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Pt>
            <c:idx val="4"/>
            <c:marker>
              <c:symbol val="circle"/>
              <c:size val="5"/>
              <c:spPr>
                <a:solidFill>
                  <a:srgbClr val="4472c4"/>
                </a:solidFill>
              </c:spPr>
            </c:marker>
          </c:dPt>
          <c:dLbls>
            <c:dLbl>
              <c:idx val="4"/>
              <c:txPr>
                <a:bodyPr wrap="none"/>
                <a:lstStyle/>
                <a:p>
                  <a:pPr>
                    <a:defRPr b="0" lang="en-US" sz="1000" spc="-1" strike="noStrike">
                      <a:solidFill>
                        <a:srgbClr val="000000"/>
                      </a:solidFill>
                      <a:latin typeface="Calibri"/>
                    </a:defRPr>
                  </a:pPr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eparator>; </c:separator>
            </c:dLbl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atrox'!$L$58:$L$65</c:f>
              <c:numCache>
                <c:formatCode>General</c:formatCode>
                <c:ptCount val="8"/>
                <c:pt idx="0">
                  <c:v>0.504</c:v>
                </c:pt>
                <c:pt idx="1">
                  <c:v>0.4105</c:v>
                </c:pt>
                <c:pt idx="2">
                  <c:v>0.181</c:v>
                </c:pt>
                <c:pt idx="3">
                  <c:v>0.22</c:v>
                </c:pt>
                <c:pt idx="4">
                  <c:v>0.3095</c:v>
                </c:pt>
                <c:pt idx="5">
                  <c:v>0.171</c:v>
                </c:pt>
                <c:pt idx="6">
                  <c:v>0</c:v>
                </c:pt>
                <c:pt idx="7">
                  <c:v>0.002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'C. atrox'!$M$57</c:f>
              <c:strCache>
                <c:ptCount val="1"/>
                <c:pt idx="0">
                  <c:v>Fit DC</c:v>
                </c:pt>
              </c:strCache>
            </c:strRef>
          </c:tx>
          <c:spPr>
            <a:solidFill>
              <a:srgbClr val="4472c4"/>
            </a:solidFill>
            <a:ln cap="rnd" w="2844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atrox'!$M$58:$M$65</c:f>
              <c:numCache>
                <c:formatCode>General</c:formatCode>
                <c:ptCount val="8"/>
                <c:pt idx="0">
                  <c:v>0.502695564225147</c:v>
                </c:pt>
                <c:pt idx="1">
                  <c:v>0.497190542764399</c:v>
                </c:pt>
                <c:pt idx="2">
                  <c:v>0.470023313208647</c:v>
                </c:pt>
                <c:pt idx="3">
                  <c:v>0.364811782460051</c:v>
                </c:pt>
                <c:pt idx="4">
                  <c:v>0.167233499437545</c:v>
                </c:pt>
                <c:pt idx="5">
                  <c:v>0.0433412770191061</c:v>
                </c:pt>
                <c:pt idx="6">
                  <c:v>0.0088268850590214</c:v>
                </c:pt>
                <c:pt idx="7">
                  <c:v>0.00169646404733475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'C. atrox'!$P$57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atrox'!$P$58:$P$65</c:f>
              <c:numCache>
                <c:formatCode>General</c:formatCode>
                <c:ptCount val="8"/>
                <c:pt idx="0">
                  <c:v>0.1565</c:v>
                </c:pt>
                <c:pt idx="1">
                  <c:v>0.1745</c:v>
                </c:pt>
                <c:pt idx="2">
                  <c:v>0.094</c:v>
                </c:pt>
                <c:pt idx="3">
                  <c:v>0.114</c:v>
                </c:pt>
                <c:pt idx="4">
                  <c:v>0.1</c:v>
                </c:pt>
                <c:pt idx="5">
                  <c:v>0.125</c:v>
                </c:pt>
                <c:pt idx="6">
                  <c:v>0.2065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'C. atrox'!$Q$57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atrox'!$Q$58:$Q$65</c:f>
              <c:numCache>
                <c:formatCode>General</c:formatCode>
                <c:ptCount val="8"/>
                <c:pt idx="0">
                  <c:v>0.202403846153846</c:v>
                </c:pt>
                <c:pt idx="1">
                  <c:v>0.164939024390244</c:v>
                </c:pt>
                <c:pt idx="2">
                  <c:v>0.109475088967972</c:v>
                </c:pt>
                <c:pt idx="3">
                  <c:v>0.100646081048289</c:v>
                </c:pt>
                <c:pt idx="4">
                  <c:v>0.100040611033999</c:v>
                </c:pt>
                <c:pt idx="5">
                  <c:v>0.100002539097331</c:v>
                </c:pt>
                <c:pt idx="6">
                  <c:v>0.10000015869713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99201647"/>
        <c:axId val="73845906"/>
      </c:lineChart>
      <c:catAx>
        <c:axId val="99201647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73845906"/>
        <c:crosses val="autoZero"/>
        <c:auto val="1"/>
        <c:lblAlgn val="ctr"/>
        <c:lblOffset val="100"/>
        <c:noMultiLvlLbl val="0"/>
      </c:catAx>
      <c:valAx>
        <c:axId val="73845906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99201647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285665847249"/>
          <c:y val="0.032277081798084"/>
          <c:w val="0.207697524584605"/>
          <c:h val="0.460790094339623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8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6065907932733"/>
          <c:y val="0.0770817980840088"/>
          <c:w val="0.70205537625276"/>
          <c:h val="0.6551215917465"/>
        </c:manualLayout>
      </c:layout>
      <c:lineChart>
        <c:grouping val="standard"/>
        <c:varyColors val="0"/>
        <c:ser>
          <c:idx val="0"/>
          <c:order val="0"/>
          <c:tx>
            <c:strRef>
              <c:f>'C. atrox'!$N$57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c00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c00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atrox'!$N$58:$N$65</c:f>
              <c:numCache>
                <c:formatCode>General</c:formatCode>
                <c:ptCount val="8"/>
                <c:pt idx="0">
                  <c:v>1.6955</c:v>
                </c:pt>
                <c:pt idx="1">
                  <c:v>1.6455</c:v>
                </c:pt>
                <c:pt idx="2">
                  <c:v>1.0405</c:v>
                </c:pt>
                <c:pt idx="3">
                  <c:v>0.749</c:v>
                </c:pt>
                <c:pt idx="4">
                  <c:v>0.3045</c:v>
                </c:pt>
                <c:pt idx="5">
                  <c:v>0.4625</c:v>
                </c:pt>
                <c:pt idx="6">
                  <c:v>0.2895</c:v>
                </c:pt>
                <c:pt idx="7">
                  <c:v>0.2255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'C. atrox'!$O$57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9e480e"/>
            </a:solidFill>
            <a:ln cap="rnd" w="28440">
              <a:solidFill>
                <a:srgbClr val="9e48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atrox'!$O$58:$O$65</c:f>
              <c:numCache>
                <c:formatCode>General</c:formatCode>
                <c:ptCount val="8"/>
                <c:pt idx="0">
                  <c:v>1.63896153846154</c:v>
                </c:pt>
                <c:pt idx="1">
                  <c:v>1.49274137931035</c:v>
                </c:pt>
                <c:pt idx="2">
                  <c:v>1.12184146341463</c:v>
                </c:pt>
                <c:pt idx="3">
                  <c:v>0.638421348314607</c:v>
                </c:pt>
                <c:pt idx="4">
                  <c:v>0.356282918149466</c:v>
                </c:pt>
                <c:pt idx="5">
                  <c:v>0.260533365109628</c:v>
                </c:pt>
                <c:pt idx="6">
                  <c:v>0.234417738413007</c:v>
                </c:pt>
                <c:pt idx="7">
                  <c:v>0.227739624596258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'C. atrox'!$P$57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atrox'!$P$58:$P$65</c:f>
              <c:numCache>
                <c:formatCode>General</c:formatCode>
                <c:ptCount val="8"/>
                <c:pt idx="0">
                  <c:v>0.1565</c:v>
                </c:pt>
                <c:pt idx="1">
                  <c:v>0.1745</c:v>
                </c:pt>
                <c:pt idx="2">
                  <c:v>0.094</c:v>
                </c:pt>
                <c:pt idx="3">
                  <c:v>0.114</c:v>
                </c:pt>
                <c:pt idx="4">
                  <c:v>0.1</c:v>
                </c:pt>
                <c:pt idx="5">
                  <c:v>0.125</c:v>
                </c:pt>
                <c:pt idx="6">
                  <c:v>0.2065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'C. atrox'!$Q$57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atrox'!$Q$58:$Q$65</c:f>
              <c:numCache>
                <c:formatCode>General</c:formatCode>
                <c:ptCount val="8"/>
                <c:pt idx="0">
                  <c:v>0.202403846153846</c:v>
                </c:pt>
                <c:pt idx="1">
                  <c:v>0.164939024390244</c:v>
                </c:pt>
                <c:pt idx="2">
                  <c:v>0.109475088967972</c:v>
                </c:pt>
                <c:pt idx="3">
                  <c:v>0.100646081048289</c:v>
                </c:pt>
                <c:pt idx="4">
                  <c:v>0.100040611033999</c:v>
                </c:pt>
                <c:pt idx="5">
                  <c:v>0.100002539097331</c:v>
                </c:pt>
                <c:pt idx="6">
                  <c:v>0.10000015869713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54817582"/>
        <c:axId val="39747698"/>
      </c:lineChart>
      <c:catAx>
        <c:axId val="54817582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39747698"/>
        <c:crosses val="autoZero"/>
        <c:auto val="1"/>
        <c:lblAlgn val="ctr"/>
        <c:lblOffset val="100"/>
        <c:noMultiLvlLbl val="0"/>
      </c:catAx>
      <c:valAx>
        <c:axId val="3974769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54817582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300662476643"/>
          <c:y val="0.032277081798084"/>
          <c:w val="0.207763526713667"/>
          <c:h val="0.938679245283019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8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4788009076794"/>
          <c:y val="0.0281624154086413"/>
          <c:w val="0.701779529439866"/>
          <c:h val="0.85450286309214"/>
        </c:manualLayout>
      </c:layout>
      <c:lineChart>
        <c:grouping val="standard"/>
        <c:varyColors val="0"/>
        <c:ser>
          <c:idx val="0"/>
          <c:order val="0"/>
          <c:tx>
            <c:strRef>
              <c:f>'C. atrox'!$F$57</c:f>
              <c:strCache>
                <c:ptCount val="1"/>
                <c:pt idx="0">
                  <c:v>Ave. TF</c:v>
                </c:pt>
              </c:strCache>
            </c:strRef>
          </c:tx>
          <c:spPr>
            <a:solidFill>
              <a:srgbClr val="ff420e"/>
            </a:solidFill>
            <a:ln w="28800">
              <a:noFill/>
            </a:ln>
          </c:spPr>
          <c:marker>
            <c:symbol val="circle"/>
            <c:size val="8"/>
            <c:spPr>
              <a:solidFill>
                <a:srgbClr val="ff420e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atrox'!$F$58:$F$65</c:f>
              <c:numCache>
                <c:formatCode>General</c:formatCode>
                <c:ptCount val="8"/>
                <c:pt idx="0">
                  <c:v>0.469</c:v>
                </c:pt>
                <c:pt idx="1">
                  <c:v>0.524</c:v>
                </c:pt>
                <c:pt idx="2">
                  <c:v>0.349</c:v>
                </c:pt>
                <c:pt idx="3">
                  <c:v>0.254</c:v>
                </c:pt>
                <c:pt idx="4">
                  <c:v>0.126</c:v>
                </c:pt>
                <c:pt idx="5">
                  <c:v>0.05975</c:v>
                </c:pt>
                <c:pt idx="6">
                  <c:v>0.0445</c:v>
                </c:pt>
                <c:pt idx="7">
                  <c:v>0.1105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'C. atrox'!$G$57</c:f>
              <c:strCache>
                <c:ptCount val="1"/>
                <c:pt idx="0">
                  <c:v>Fit TF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atrox'!$G$58:$G$65</c:f>
              <c:numCache>
                <c:formatCode>General</c:formatCode>
                <c:ptCount val="8"/>
                <c:pt idx="0">
                  <c:v>0.509586935694611</c:v>
                </c:pt>
                <c:pt idx="1">
                  <c:v>0.477151239163942</c:v>
                </c:pt>
                <c:pt idx="2">
                  <c:v>0.391558456645349</c:v>
                </c:pt>
                <c:pt idx="3">
                  <c:v>0.245370114405635</c:v>
                </c:pt>
                <c:pt idx="4">
                  <c:v>0.116060735975524</c:v>
                </c:pt>
                <c:pt idx="5">
                  <c:v>0.0533325880519872</c:v>
                </c:pt>
                <c:pt idx="6">
                  <c:v>0.0315885024203949</c:v>
                </c:pt>
                <c:pt idx="7">
                  <c:v>0.024967838175991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'C. atrox'!$H$57</c:f>
              <c:strCache>
                <c:ptCount val="1"/>
                <c:pt idx="0">
                  <c:v>Ave. BS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atrox'!$H$58:$H$65</c:f>
              <c:numCache>
                <c:formatCode>General</c:formatCode>
                <c:ptCount val="8"/>
                <c:pt idx="0">
                  <c:v>0.377</c:v>
                </c:pt>
                <c:pt idx="1">
                  <c:v>0.4435</c:v>
                </c:pt>
                <c:pt idx="2">
                  <c:v>0.3285</c:v>
                </c:pt>
                <c:pt idx="3">
                  <c:v>0.2625</c:v>
                </c:pt>
                <c:pt idx="4">
                  <c:v>0.164</c:v>
                </c:pt>
                <c:pt idx="5">
                  <c:v>0</c:v>
                </c:pt>
                <c:pt idx="6">
                  <c:v>0</c:v>
                </c:pt>
                <c:pt idx="7">
                  <c:v>0.068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'C. atrox'!$I$57</c:f>
              <c:strCache>
                <c:ptCount val="1"/>
                <c:pt idx="0">
                  <c:v>Fit BS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atrox'!$I$58:$I$65</c:f>
              <c:numCache>
                <c:formatCode>General</c:formatCode>
                <c:ptCount val="8"/>
                <c:pt idx="0">
                  <c:v>0.436580662795749</c:v>
                </c:pt>
                <c:pt idx="1">
                  <c:v>0.420303776509052</c:v>
                </c:pt>
                <c:pt idx="2">
                  <c:v>0.372007611006823</c:v>
                </c:pt>
                <c:pt idx="3">
                  <c:v>0.265694659364186</c:v>
                </c:pt>
                <c:pt idx="4">
                  <c:v>0.133170298861854</c:v>
                </c:pt>
                <c:pt idx="5">
                  <c:v>0.048657913024785</c:v>
                </c:pt>
                <c:pt idx="6">
                  <c:v>0.0151588361652096</c:v>
                </c:pt>
                <c:pt idx="7">
                  <c:v>0.00446194507808496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'C. atrox'!$J$57</c:f>
              <c:strCache>
                <c:ptCount val="1"/>
                <c:pt idx="0">
                  <c:v>Ave. RM</c:v>
                </c:pt>
              </c:strCache>
            </c:strRef>
          </c:tx>
          <c:spPr>
            <a:solidFill>
              <a:srgbClr val="ffc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atrox'!$J$58:$J$65</c:f>
              <c:numCache>
                <c:formatCode>General</c:formatCode>
                <c:ptCount val="8"/>
                <c:pt idx="0">
                  <c:v>0.2825</c:v>
                </c:pt>
                <c:pt idx="1">
                  <c:v>0.1995</c:v>
                </c:pt>
                <c:pt idx="2">
                  <c:v>0.085</c:v>
                </c:pt>
                <c:pt idx="3">
                  <c:v>0.022</c:v>
                </c:pt>
                <c:pt idx="4">
                  <c:v>0.02125</c:v>
                </c:pt>
                <c:pt idx="5">
                  <c:v>0</c:v>
                </c:pt>
                <c:pt idx="6">
                  <c:v>0</c:v>
                </c:pt>
                <c:pt idx="7">
                  <c:v>0.00774999999999999</c:v>
                </c:pt>
              </c:numCache>
            </c:numRef>
          </c:val>
          <c:smooth val="1"/>
        </c:ser>
        <c:ser>
          <c:idx val="5"/>
          <c:order val="5"/>
          <c:tx>
            <c:strRef>
              <c:f>'C. atrox'!$K$57</c:f>
              <c:strCache>
                <c:ptCount val="1"/>
                <c:pt idx="0">
                  <c:v>Fit. RM</c:v>
                </c:pt>
              </c:strCache>
            </c:strRef>
          </c:tx>
          <c:spPr>
            <a:solidFill>
              <a:srgbClr val="ffc000"/>
            </a:solidFill>
            <a:ln cap="rnd" w="28440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atrox'!$K$58:$K$65</c:f>
              <c:numCache>
                <c:formatCode>General</c:formatCode>
                <c:ptCount val="8"/>
                <c:pt idx="0">
                  <c:v>0.271225372969174</c:v>
                </c:pt>
                <c:pt idx="1">
                  <c:v>0.211998952333984</c:v>
                </c:pt>
                <c:pt idx="2">
                  <c:v>0.0771767242865099</c:v>
                </c:pt>
                <c:pt idx="3">
                  <c:v>0.0126775756301537</c:v>
                </c:pt>
                <c:pt idx="4">
                  <c:v>0.00164946626034181</c:v>
                </c:pt>
                <c:pt idx="5">
                  <c:v>0.000207242075320048</c:v>
                </c:pt>
                <c:pt idx="6">
                  <c:v>2.59218986878211E-005</c:v>
                </c:pt>
                <c:pt idx="7">
                  <c:v>3.24049751249866E-006</c:v>
                </c:pt>
              </c:numCache>
            </c:numRef>
          </c:val>
          <c:smooth val="1"/>
        </c:ser>
        <c:ser>
          <c:idx val="6"/>
          <c:order val="6"/>
          <c:tx>
            <c:strRef>
              <c:f>'C. atrox'!$L$57</c:f>
              <c:strCache>
                <c:ptCount val="1"/>
                <c:pt idx="0">
                  <c:v>Ave. DC</c:v>
                </c:pt>
              </c:strCache>
            </c:strRef>
          </c:tx>
          <c:spPr>
            <a:solidFill>
              <a:srgbClr val="4472c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atrox'!$L$58:$L$65</c:f>
              <c:numCache>
                <c:formatCode>General</c:formatCode>
                <c:ptCount val="8"/>
                <c:pt idx="0">
                  <c:v>0.504</c:v>
                </c:pt>
                <c:pt idx="1">
                  <c:v>0.4105</c:v>
                </c:pt>
                <c:pt idx="2">
                  <c:v>0.181</c:v>
                </c:pt>
                <c:pt idx="3">
                  <c:v>0.22</c:v>
                </c:pt>
                <c:pt idx="4">
                  <c:v>0.3095</c:v>
                </c:pt>
                <c:pt idx="5">
                  <c:v>0.171</c:v>
                </c:pt>
                <c:pt idx="6">
                  <c:v>0</c:v>
                </c:pt>
                <c:pt idx="7">
                  <c:v>0.002</c:v>
                </c:pt>
              </c:numCache>
            </c:numRef>
          </c:val>
          <c:smooth val="1"/>
        </c:ser>
        <c:ser>
          <c:idx val="7"/>
          <c:order val="7"/>
          <c:tx>
            <c:strRef>
              <c:f>'C. atrox'!$M$57</c:f>
              <c:strCache>
                <c:ptCount val="1"/>
                <c:pt idx="0">
                  <c:v>Fit DC</c:v>
                </c:pt>
              </c:strCache>
            </c:strRef>
          </c:tx>
          <c:spPr>
            <a:solidFill>
              <a:srgbClr val="4472c4"/>
            </a:solidFill>
            <a:ln cap="rnd" w="2844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atrox'!$M$58:$M$65</c:f>
              <c:numCache>
                <c:formatCode>General</c:formatCode>
                <c:ptCount val="8"/>
                <c:pt idx="0">
                  <c:v>0.502695564225147</c:v>
                </c:pt>
                <c:pt idx="1">
                  <c:v>0.497190542764399</c:v>
                </c:pt>
                <c:pt idx="2">
                  <c:v>0.470023313208647</c:v>
                </c:pt>
                <c:pt idx="3">
                  <c:v>0.364811782460051</c:v>
                </c:pt>
                <c:pt idx="4">
                  <c:v>0.167233499437545</c:v>
                </c:pt>
                <c:pt idx="5">
                  <c:v>0.0433412770191061</c:v>
                </c:pt>
                <c:pt idx="6">
                  <c:v>0.0088268850590214</c:v>
                </c:pt>
                <c:pt idx="7">
                  <c:v>0.00169646404733475</c:v>
                </c:pt>
              </c:numCache>
            </c:numRef>
          </c:val>
          <c:smooth val="1"/>
        </c:ser>
        <c:ser>
          <c:idx val="8"/>
          <c:order val="8"/>
          <c:tx>
            <c:strRef>
              <c:f>'C. atrox'!$P$57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atrox'!$P$58:$P$65</c:f>
              <c:numCache>
                <c:formatCode>General</c:formatCode>
                <c:ptCount val="8"/>
                <c:pt idx="0">
                  <c:v>0.1565</c:v>
                </c:pt>
                <c:pt idx="1">
                  <c:v>0.1745</c:v>
                </c:pt>
                <c:pt idx="2">
                  <c:v>0.094</c:v>
                </c:pt>
                <c:pt idx="3">
                  <c:v>0.114</c:v>
                </c:pt>
                <c:pt idx="4">
                  <c:v>0.1</c:v>
                </c:pt>
                <c:pt idx="5">
                  <c:v>0.125</c:v>
                </c:pt>
                <c:pt idx="6">
                  <c:v>0.2065</c:v>
                </c:pt>
              </c:numCache>
            </c:numRef>
          </c:val>
          <c:smooth val="1"/>
        </c:ser>
        <c:ser>
          <c:idx val="9"/>
          <c:order val="9"/>
          <c:tx>
            <c:strRef>
              <c:f>'C. atrox'!$Q$57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'C. atrox'!$Q$58:$Q$65</c:f>
              <c:numCache>
                <c:formatCode>General</c:formatCode>
                <c:ptCount val="8"/>
                <c:pt idx="0">
                  <c:v>0.202403846153846</c:v>
                </c:pt>
                <c:pt idx="1">
                  <c:v>0.164939024390244</c:v>
                </c:pt>
                <c:pt idx="2">
                  <c:v>0.109475088967972</c:v>
                </c:pt>
                <c:pt idx="3">
                  <c:v>0.100646081048289</c:v>
                </c:pt>
                <c:pt idx="4">
                  <c:v>0.100040611033999</c:v>
                </c:pt>
                <c:pt idx="5">
                  <c:v>0.100002539097331</c:v>
                </c:pt>
                <c:pt idx="6">
                  <c:v>0.10000015869713</c:v>
                </c:pt>
              </c:numCache>
            </c:numRef>
          </c:val>
          <c:smooth val="1"/>
        </c:ser>
        <c:hiLowLines>
          <c:spPr>
            <a:ln w="0">
              <a:noFill/>
            </a:ln>
          </c:spPr>
        </c:hiLowLines>
        <c:marker val="1"/>
        <c:axId val="88733681"/>
        <c:axId val="31189032"/>
      </c:lineChart>
      <c:catAx>
        <c:axId val="88733681"/>
        <c:scaling>
          <c:orientation val="minMax"/>
        </c:scaling>
        <c:delete val="0"/>
        <c:axPos val="b"/>
        <c:majorGridlines>
          <c:spPr>
            <a:ln w="0">
              <a:solidFill>
                <a:srgbClr val="b3b3b3"/>
              </a:solidFill>
            </a:ln>
          </c:spPr>
        </c:majorGridlines>
        <c:minorGridlines>
          <c:spPr>
            <a:ln w="0">
              <a:solidFill>
                <a:srgbClr val="dddddd"/>
              </a:solidFill>
            </a:ln>
          </c:spPr>
        </c:minorGridlines>
        <c:title>
          <c:tx>
            <c:rich>
              <a:bodyPr rot="0"/>
              <a:lstStyle/>
              <a:p>
                <a:pPr>
                  <a:defRPr b="0" lang="en-US" sz="1200" spc="-1" strike="noStrike">
                    <a:latin typeface="Arial"/>
                  </a:defRPr>
                </a:pPr>
                <a:r>
                  <a:rPr b="0" lang="en-US" sz="1200" spc="-1" strike="noStrike">
                    <a:latin typeface="Arial"/>
                  </a:rPr>
                  <a:t>Titer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12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31189032"/>
        <c:crosses val="autoZero"/>
        <c:auto val="1"/>
        <c:lblAlgn val="ctr"/>
        <c:lblOffset val="100"/>
        <c:noMultiLvlLbl val="0"/>
      </c:catAx>
      <c:valAx>
        <c:axId val="3118903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0">
              <a:solidFill>
                <a:srgbClr val="dddddd"/>
              </a:solidFill>
            </a:ln>
          </c:spPr>
        </c:min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88733681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78812850830049"/>
          <c:y val="0.217334721499219"/>
          <c:w val="0.207763511495969"/>
          <c:h val="0.47082096933729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8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6455610252928"/>
          <c:y val="0.0772291820191599"/>
          <c:w val="0.701748429808182"/>
          <c:h val="0.6551215917465"/>
        </c:manualLayout>
      </c:layout>
      <c:lineChart>
        <c:grouping val="standard"/>
        <c:varyColors val="0"/>
        <c:ser>
          <c:idx val="0"/>
          <c:order val="0"/>
          <c:tx>
            <c:strRef>
              <c:f>'C. atrox'!$F$57</c:f>
              <c:strCache>
                <c:ptCount val="1"/>
                <c:pt idx="0">
                  <c:v>Ave. TF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atrox'!$F$58:$F$65</c:f>
              <c:numCache>
                <c:formatCode>General</c:formatCode>
                <c:ptCount val="8"/>
                <c:pt idx="0">
                  <c:v>0.469</c:v>
                </c:pt>
                <c:pt idx="1">
                  <c:v>0.524</c:v>
                </c:pt>
                <c:pt idx="2">
                  <c:v>0.349</c:v>
                </c:pt>
                <c:pt idx="3">
                  <c:v>0.254</c:v>
                </c:pt>
                <c:pt idx="4">
                  <c:v>0.126</c:v>
                </c:pt>
                <c:pt idx="5">
                  <c:v>0.05975</c:v>
                </c:pt>
                <c:pt idx="6">
                  <c:v>0.0445</c:v>
                </c:pt>
                <c:pt idx="7">
                  <c:v>0.1105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'C. atrox'!$G$57</c:f>
              <c:strCache>
                <c:ptCount val="1"/>
                <c:pt idx="0">
                  <c:v>Fit TF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atrox'!$G$58:$G$65</c:f>
              <c:numCache>
                <c:formatCode>General</c:formatCode>
                <c:ptCount val="8"/>
                <c:pt idx="0">
                  <c:v>0.509586935694611</c:v>
                </c:pt>
                <c:pt idx="1">
                  <c:v>0.477151239163942</c:v>
                </c:pt>
                <c:pt idx="2">
                  <c:v>0.391558456645349</c:v>
                </c:pt>
                <c:pt idx="3">
                  <c:v>0.245370114405635</c:v>
                </c:pt>
                <c:pt idx="4">
                  <c:v>0.116060735975524</c:v>
                </c:pt>
                <c:pt idx="5">
                  <c:v>0.0533325880519872</c:v>
                </c:pt>
                <c:pt idx="6">
                  <c:v>0.0315885024203949</c:v>
                </c:pt>
                <c:pt idx="7">
                  <c:v>0.024967838175991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'C. atrox'!$P$57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atrox'!$P$58:$P$65</c:f>
              <c:numCache>
                <c:formatCode>General</c:formatCode>
                <c:ptCount val="8"/>
                <c:pt idx="0">
                  <c:v>0.1565</c:v>
                </c:pt>
                <c:pt idx="1">
                  <c:v>0.1745</c:v>
                </c:pt>
                <c:pt idx="2">
                  <c:v>0.094</c:v>
                </c:pt>
                <c:pt idx="3">
                  <c:v>0.114</c:v>
                </c:pt>
                <c:pt idx="4">
                  <c:v>0.1</c:v>
                </c:pt>
                <c:pt idx="5">
                  <c:v>0.125</c:v>
                </c:pt>
                <c:pt idx="6">
                  <c:v>0.2065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'C. atrox'!$Q$57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'C. atrox'!$Q$58:$Q$65</c:f>
              <c:numCache>
                <c:formatCode>General</c:formatCode>
                <c:ptCount val="8"/>
                <c:pt idx="0">
                  <c:v>0.202403846153846</c:v>
                </c:pt>
                <c:pt idx="1">
                  <c:v>0.164939024390244</c:v>
                </c:pt>
                <c:pt idx="2">
                  <c:v>0.109475088967972</c:v>
                </c:pt>
                <c:pt idx="3">
                  <c:v>0.100646081048289</c:v>
                </c:pt>
                <c:pt idx="4">
                  <c:v>0.100040611033999</c:v>
                </c:pt>
                <c:pt idx="5">
                  <c:v>0.100002539097331</c:v>
                </c:pt>
                <c:pt idx="6">
                  <c:v>0.10000015869713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5729402"/>
        <c:axId val="19587131"/>
      </c:lineChart>
      <c:catAx>
        <c:axId val="5729402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19587131"/>
        <c:crosses val="autoZero"/>
        <c:auto val="1"/>
        <c:lblAlgn val="ctr"/>
        <c:lblOffset val="100"/>
        <c:noMultiLvlLbl val="0"/>
      </c:catAx>
      <c:valAx>
        <c:axId val="19587131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5729402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358173484977"/>
          <c:y val="0.032277081798084"/>
          <c:w val="0.207707325354384"/>
          <c:h val="0.39342570754717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8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6685345559518"/>
          <c:y val="0.0772178013557324"/>
          <c:w val="0.701647138733232"/>
          <c:h val="0.655172413793103"/>
        </c:manualLayout>
      </c:layout>
      <c:lineChart>
        <c:grouping val="standard"/>
        <c:varyColors val="0"/>
        <c:ser>
          <c:idx val="0"/>
          <c:order val="0"/>
          <c:tx>
            <c:strRef>
              <c:f>'B. atrox'!$H$57</c:f>
              <c:strCache>
                <c:ptCount val="1"/>
                <c:pt idx="0">
                  <c:v>Ave. BS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atrox'!$H$58:$H$65</c:f>
              <c:numCache>
                <c:formatCode>General</c:formatCode>
                <c:ptCount val="8"/>
                <c:pt idx="0">
                  <c:v>0.434</c:v>
                </c:pt>
                <c:pt idx="1">
                  <c:v>0.476</c:v>
                </c:pt>
                <c:pt idx="2">
                  <c:v>0.448</c:v>
                </c:pt>
                <c:pt idx="3">
                  <c:v>0.2485</c:v>
                </c:pt>
                <c:pt idx="4">
                  <c:v>0.175</c:v>
                </c:pt>
                <c:pt idx="5">
                  <c:v>0.01875</c:v>
                </c:pt>
                <c:pt idx="6">
                  <c:v>0</c:v>
                </c:pt>
                <c:pt idx="7">
                  <c:v>0.0285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'B. atrox'!$I$57</c:f>
              <c:strCache>
                <c:ptCount val="1"/>
                <c:pt idx="0">
                  <c:v>Fit BS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atrox'!$I$58:$I$65</c:f>
              <c:numCache>
                <c:formatCode>General</c:formatCode>
                <c:ptCount val="8"/>
                <c:pt idx="0">
                  <c:v>0.468729625395307</c:v>
                </c:pt>
                <c:pt idx="1">
                  <c:v>0.451626966974562</c:v>
                </c:pt>
                <c:pt idx="2">
                  <c:v>0.400880601418669</c:v>
                </c:pt>
                <c:pt idx="3">
                  <c:v>0.289174095295853</c:v>
                </c:pt>
                <c:pt idx="4">
                  <c:v>0.149926401960821</c:v>
                </c:pt>
                <c:pt idx="5">
                  <c:v>0.0611264655457718</c:v>
                </c:pt>
                <c:pt idx="6">
                  <c:v>0.025927886477988</c:v>
                </c:pt>
                <c:pt idx="7">
                  <c:v>0.0146883120775369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'B. atrox'!$P$57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atrox'!$P$58:$P$65</c:f>
              <c:numCache>
                <c:formatCode>General</c:formatCode>
                <c:ptCount val="8"/>
                <c:pt idx="0">
                  <c:v>0.00800000000000001</c:v>
                </c:pt>
                <c:pt idx="1">
                  <c:v>0.088</c:v>
                </c:pt>
                <c:pt idx="2">
                  <c:v>0.022</c:v>
                </c:pt>
                <c:pt idx="3">
                  <c:v>0</c:v>
                </c:pt>
                <c:pt idx="4">
                  <c:v>0</c:v>
                </c:pt>
                <c:pt idx="5">
                  <c:v>0.00375</c:v>
                </c:pt>
                <c:pt idx="6">
                  <c:v>0.01825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'B. atrox'!$Q$57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atrox'!$Q$58:$Q$65</c:f>
              <c:numCache>
                <c:formatCode>General</c:formatCode>
                <c:ptCount val="8"/>
                <c:pt idx="0">
                  <c:v>0.0871287128712871</c:v>
                </c:pt>
                <c:pt idx="1">
                  <c:v>0.0758620689655172</c:v>
                </c:pt>
                <c:pt idx="2">
                  <c:v>0.0247191011235955</c:v>
                </c:pt>
                <c:pt idx="3">
                  <c:v>0.00209723546234509</c:v>
                </c:pt>
                <c:pt idx="4">
                  <c:v>0.000134072764946066</c:v>
                </c:pt>
                <c:pt idx="5">
                  <c:v>8.391533705358E-006</c:v>
                </c:pt>
                <c:pt idx="6">
                  <c:v>5.24517747654035E-007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7318924"/>
        <c:axId val="6215455"/>
      </c:lineChart>
      <c:catAx>
        <c:axId val="7318924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6215455"/>
        <c:crosses val="autoZero"/>
        <c:auto val="1"/>
        <c:lblAlgn val="ctr"/>
        <c:lblOffset val="100"/>
        <c:noMultiLvlLbl val="0"/>
      </c:catAx>
      <c:valAx>
        <c:axId val="6215455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7318924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117167600611"/>
          <c:y val="0.0318302387267904"/>
          <c:w val="0.20760804958818"/>
          <c:h val="0.393220338983051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8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6042019654354"/>
          <c:y val="0.0770817980840088"/>
          <c:w val="0.701880718400542"/>
          <c:h val="0.6551215917465"/>
        </c:manualLayout>
      </c:layout>
      <c:lineChart>
        <c:grouping val="standard"/>
        <c:varyColors val="0"/>
        <c:ser>
          <c:idx val="0"/>
          <c:order val="0"/>
          <c:tx>
            <c:strRef>
              <c:f>'B. atrox'!$J$57</c:f>
              <c:strCache>
                <c:ptCount val="1"/>
                <c:pt idx="0">
                  <c:v>Ave. RM</c:v>
                </c:pt>
              </c:strCache>
            </c:strRef>
          </c:tx>
          <c:spPr>
            <a:solidFill>
              <a:srgbClr val="ffc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atrox'!$J$58:$J$65</c:f>
              <c:numCache>
                <c:formatCode>General</c:formatCode>
                <c:ptCount val="8"/>
                <c:pt idx="0">
                  <c:v>0.2265</c:v>
                </c:pt>
                <c:pt idx="1">
                  <c:v>0.3825</c:v>
                </c:pt>
                <c:pt idx="2">
                  <c:v>1.0035</c:v>
                </c:pt>
                <c:pt idx="3">
                  <c:v>0.349</c:v>
                </c:pt>
                <c:pt idx="4">
                  <c:v>0.251</c:v>
                </c:pt>
                <c:pt idx="5">
                  <c:v>0.085</c:v>
                </c:pt>
                <c:pt idx="6">
                  <c:v>0.000750000000000001</c:v>
                </c:pt>
                <c:pt idx="7">
                  <c:v>0.032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'B. atrox'!$K$57</c:f>
              <c:strCache>
                <c:ptCount val="1"/>
                <c:pt idx="0">
                  <c:v>Fit. RM</c:v>
                </c:pt>
              </c:strCache>
            </c:strRef>
          </c:tx>
          <c:spPr>
            <a:solidFill>
              <a:srgbClr val="ffc000"/>
            </a:solidFill>
            <a:ln cap="rnd" w="28440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atrox'!$K$58:$K$65</c:f>
              <c:numCache>
                <c:formatCode>General</c:formatCode>
                <c:ptCount val="8"/>
                <c:pt idx="0">
                  <c:v>0.399817037305775</c:v>
                </c:pt>
                <c:pt idx="1">
                  <c:v>0.398893286171918</c:v>
                </c:pt>
                <c:pt idx="2">
                  <c:v>0.393382891564327</c:v>
                </c:pt>
                <c:pt idx="3">
                  <c:v>0.362983563943753</c:v>
                </c:pt>
                <c:pt idx="4">
                  <c:v>0.247206406432867</c:v>
                </c:pt>
                <c:pt idx="5">
                  <c:v>0.0843877684007126</c:v>
                </c:pt>
                <c:pt idx="6">
                  <c:v>0.0170867984786105</c:v>
                </c:pt>
                <c:pt idx="7">
                  <c:v>0.00312826880726376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'B. atrox'!$P$57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atrox'!$P$58:$P$65</c:f>
              <c:numCache>
                <c:formatCode>General</c:formatCode>
                <c:ptCount val="8"/>
                <c:pt idx="0">
                  <c:v>0.00800000000000001</c:v>
                </c:pt>
                <c:pt idx="1">
                  <c:v>0.088</c:v>
                </c:pt>
                <c:pt idx="2">
                  <c:v>0.022</c:v>
                </c:pt>
                <c:pt idx="3">
                  <c:v>0</c:v>
                </c:pt>
                <c:pt idx="4">
                  <c:v>0</c:v>
                </c:pt>
                <c:pt idx="5">
                  <c:v>0.00375</c:v>
                </c:pt>
                <c:pt idx="6">
                  <c:v>0.01825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'B. atrox'!$Q$57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atrox'!$Q$58:$Q$65</c:f>
              <c:numCache>
                <c:formatCode>General</c:formatCode>
                <c:ptCount val="8"/>
                <c:pt idx="0">
                  <c:v>0.0871287128712871</c:v>
                </c:pt>
                <c:pt idx="1">
                  <c:v>0.0758620689655172</c:v>
                </c:pt>
                <c:pt idx="2">
                  <c:v>0.0247191011235955</c:v>
                </c:pt>
                <c:pt idx="3">
                  <c:v>0.00209723546234509</c:v>
                </c:pt>
                <c:pt idx="4">
                  <c:v>0.000134072764946066</c:v>
                </c:pt>
                <c:pt idx="5">
                  <c:v>8.391533705358E-006</c:v>
                </c:pt>
                <c:pt idx="6">
                  <c:v>5.24517747654035E-007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10883488"/>
        <c:axId val="81570503"/>
      </c:lineChart>
      <c:catAx>
        <c:axId val="10883488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81570503"/>
        <c:crosses val="autoZero"/>
        <c:auto val="1"/>
        <c:lblAlgn val="ctr"/>
        <c:lblOffset val="100"/>
        <c:noMultiLvlLbl val="0"/>
      </c:catAx>
      <c:valAx>
        <c:axId val="81570503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10883488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155879362928"/>
          <c:y val="0.0941783345615328"/>
          <c:w val="0.207659069728035"/>
          <c:h val="0.31530070754717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8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652763648694"/>
          <c:y val="0.0770817980840088"/>
          <c:w val="0.701932858596134"/>
          <c:h val="0.6551215917465"/>
        </c:manualLayout>
      </c:layout>
      <c:lineChart>
        <c:grouping val="standard"/>
        <c:varyColors val="0"/>
        <c:ser>
          <c:idx val="0"/>
          <c:order val="0"/>
          <c:tx>
            <c:strRef>
              <c:f>'B. atrox'!$L$57</c:f>
              <c:strCache>
                <c:ptCount val="1"/>
                <c:pt idx="0">
                  <c:v>Ave. DC</c:v>
                </c:pt>
              </c:strCache>
            </c:strRef>
          </c:tx>
          <c:spPr>
            <a:solidFill>
              <a:srgbClr val="4472c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atrox'!$L$58:$L$65</c:f>
              <c:numCache>
                <c:formatCode>General</c:formatCode>
                <c:ptCount val="8"/>
                <c:pt idx="0">
                  <c:v>0.3875</c:v>
                </c:pt>
                <c:pt idx="1">
                  <c:v>0.384</c:v>
                </c:pt>
                <c:pt idx="2">
                  <c:v>0.2945</c:v>
                </c:pt>
                <c:pt idx="3">
                  <c:v>0.283</c:v>
                </c:pt>
                <c:pt idx="4">
                  <c:v>0.149</c:v>
                </c:pt>
                <c:pt idx="5">
                  <c:v>0.00874999999999999</c:v>
                </c:pt>
                <c:pt idx="6">
                  <c:v>0</c:v>
                </c:pt>
                <c:pt idx="7">
                  <c:v>0.053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'B. atrox'!$M$57</c:f>
              <c:strCache>
                <c:ptCount val="1"/>
                <c:pt idx="0">
                  <c:v>Fit DC</c:v>
                </c:pt>
              </c:strCache>
            </c:strRef>
          </c:tx>
          <c:spPr>
            <a:solidFill>
              <a:srgbClr val="4472c4"/>
            </a:solidFill>
            <a:ln cap="rnd" w="2844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atrox'!$M$58:$M$65</c:f>
              <c:numCache>
                <c:formatCode>General</c:formatCode>
                <c:ptCount val="8"/>
                <c:pt idx="0">
                  <c:v>0.386497085589771</c:v>
                </c:pt>
                <c:pt idx="1">
                  <c:v>0.382264554208739</c:v>
                </c:pt>
                <c:pt idx="2">
                  <c:v>0.361377051326092</c:v>
                </c:pt>
                <c:pt idx="3">
                  <c:v>0.28048524941125</c:v>
                </c:pt>
                <c:pt idx="4">
                  <c:v>0.128577343317557</c:v>
                </c:pt>
                <c:pt idx="5">
                  <c:v>0.0333229064383008</c:v>
                </c:pt>
                <c:pt idx="6">
                  <c:v>0.00678654357216427</c:v>
                </c:pt>
                <c:pt idx="7">
                  <c:v>0.00130432503639328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'B. atrox'!$P$57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atrox'!$P$58:$P$65</c:f>
              <c:numCache>
                <c:formatCode>General</c:formatCode>
                <c:ptCount val="8"/>
                <c:pt idx="0">
                  <c:v>0.00800000000000001</c:v>
                </c:pt>
                <c:pt idx="1">
                  <c:v>0.088</c:v>
                </c:pt>
                <c:pt idx="2">
                  <c:v>0.022</c:v>
                </c:pt>
                <c:pt idx="3">
                  <c:v>0</c:v>
                </c:pt>
                <c:pt idx="4">
                  <c:v>0</c:v>
                </c:pt>
                <c:pt idx="5">
                  <c:v>0.00375</c:v>
                </c:pt>
                <c:pt idx="6">
                  <c:v>0.01825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'B. atrox'!$Q$57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atrox'!$Q$58:$Q$65</c:f>
              <c:numCache>
                <c:formatCode>General</c:formatCode>
                <c:ptCount val="8"/>
                <c:pt idx="0">
                  <c:v>0.0871287128712871</c:v>
                </c:pt>
                <c:pt idx="1">
                  <c:v>0.0758620689655172</c:v>
                </c:pt>
                <c:pt idx="2">
                  <c:v>0.0247191011235955</c:v>
                </c:pt>
                <c:pt idx="3">
                  <c:v>0.00209723546234509</c:v>
                </c:pt>
                <c:pt idx="4">
                  <c:v>0.000134072764946066</c:v>
                </c:pt>
                <c:pt idx="5">
                  <c:v>8.391533705358E-006</c:v>
                </c:pt>
                <c:pt idx="6">
                  <c:v>5.24517747654035E-007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58781429"/>
        <c:axId val="26774490"/>
      </c:lineChart>
      <c:catAx>
        <c:axId val="58781429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26774490"/>
        <c:crosses val="autoZero"/>
        <c:auto val="1"/>
        <c:lblAlgn val="ctr"/>
        <c:lblOffset val="100"/>
        <c:noMultiLvlLbl val="0"/>
      </c:catAx>
      <c:valAx>
        <c:axId val="2677449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58781429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098338419803"/>
          <c:y val="0.0318349299926308"/>
          <c:w val="0.207630351844002"/>
          <c:h val="0.460790094339623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8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5216578902667"/>
          <c:y val="0.0770817980840088"/>
          <c:w val="0.70205537625276"/>
          <c:h val="0.6551215917465"/>
        </c:manualLayout>
      </c:layout>
      <c:lineChart>
        <c:grouping val="standard"/>
        <c:varyColors val="0"/>
        <c:ser>
          <c:idx val="0"/>
          <c:order val="0"/>
          <c:tx>
            <c:strRef>
              <c:f>'B. atrox'!$N$57</c:f>
              <c:strCache>
                <c:ptCount val="1"/>
                <c:pt idx="0">
                  <c:v>Ave. AV</c:v>
                </c:pt>
              </c:strCache>
            </c:strRef>
          </c:tx>
          <c:spPr>
            <a:solidFill>
              <a:srgbClr val="c00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c00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atrox'!$N$58:$N$65</c:f>
              <c:numCache>
                <c:formatCode>General</c:formatCode>
                <c:ptCount val="8"/>
                <c:pt idx="0">
                  <c:v>2.651</c:v>
                </c:pt>
                <c:pt idx="1">
                  <c:v>1.8885</c:v>
                </c:pt>
                <c:pt idx="2">
                  <c:v>0.9255</c:v>
                </c:pt>
                <c:pt idx="3">
                  <c:v>0.406</c:v>
                </c:pt>
                <c:pt idx="4">
                  <c:v>0.295</c:v>
                </c:pt>
                <c:pt idx="5">
                  <c:v>0.1075</c:v>
                </c:pt>
                <c:pt idx="6">
                  <c:v>0.1195</c:v>
                </c:pt>
                <c:pt idx="7">
                  <c:v>0.1925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'B. atrox'!$O$57</c:f>
              <c:strCache>
                <c:ptCount val="1"/>
                <c:pt idx="0">
                  <c:v>Fit AV</c:v>
                </c:pt>
              </c:strCache>
            </c:strRef>
          </c:tx>
          <c:spPr>
            <a:solidFill>
              <a:srgbClr val="9e480e"/>
            </a:solidFill>
            <a:ln cap="rnd" w="28440">
              <a:solidFill>
                <a:srgbClr val="9e48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atrox'!$O$58:$O$65</c:f>
              <c:numCache>
                <c:formatCode>General</c:formatCode>
                <c:ptCount val="8"/>
                <c:pt idx="0">
                  <c:v>2.41977272727273</c:v>
                </c:pt>
                <c:pt idx="1">
                  <c:v>1.92428571428571</c:v>
                </c:pt>
                <c:pt idx="2">
                  <c:v>1.08576923076923</c:v>
                </c:pt>
                <c:pt idx="3">
                  <c:v>0.451216216216216</c:v>
                </c:pt>
                <c:pt idx="4">
                  <c:v>0.20312030075188</c:v>
                </c:pt>
                <c:pt idx="5">
                  <c:v>0.132098646034816</c:v>
                </c:pt>
                <c:pt idx="6">
                  <c:v>0.11369459327813</c:v>
                </c:pt>
                <c:pt idx="7">
                  <c:v>0.109051482249604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'B. atrox'!$P$57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atrox'!$P$58:$P$65</c:f>
              <c:numCache>
                <c:formatCode>General</c:formatCode>
                <c:ptCount val="8"/>
                <c:pt idx="0">
                  <c:v>0.00800000000000001</c:v>
                </c:pt>
                <c:pt idx="1">
                  <c:v>0.088</c:v>
                </c:pt>
                <c:pt idx="2">
                  <c:v>0.022</c:v>
                </c:pt>
                <c:pt idx="3">
                  <c:v>0</c:v>
                </c:pt>
                <c:pt idx="4">
                  <c:v>0</c:v>
                </c:pt>
                <c:pt idx="5">
                  <c:v>0.00375</c:v>
                </c:pt>
                <c:pt idx="6">
                  <c:v>0.01825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'B. atrox'!$Q$57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atrox'!$Q$58:$Q$65</c:f>
              <c:numCache>
                <c:formatCode>General</c:formatCode>
                <c:ptCount val="8"/>
                <c:pt idx="0">
                  <c:v>0.0871287128712871</c:v>
                </c:pt>
                <c:pt idx="1">
                  <c:v>0.0758620689655172</c:v>
                </c:pt>
                <c:pt idx="2">
                  <c:v>0.0247191011235955</c:v>
                </c:pt>
                <c:pt idx="3">
                  <c:v>0.00209723546234509</c:v>
                </c:pt>
                <c:pt idx="4">
                  <c:v>0.000134072764946066</c:v>
                </c:pt>
                <c:pt idx="5">
                  <c:v>8.391533705358E-006</c:v>
                </c:pt>
                <c:pt idx="6">
                  <c:v>5.24517747654035E-007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83121319"/>
        <c:axId val="21179421"/>
      </c:lineChart>
      <c:catAx>
        <c:axId val="83121319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21179421"/>
        <c:crosses val="autoZero"/>
        <c:auto val="1"/>
        <c:lblAlgn val="ctr"/>
        <c:lblOffset val="100"/>
        <c:noMultiLvlLbl val="0"/>
      </c:catAx>
      <c:valAx>
        <c:axId val="21179421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83121319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81722439272974"/>
          <c:y val="0.0318349299926308"/>
          <c:w val="0.207593646479232"/>
          <c:h val="0.938826650943396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9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4788009076794"/>
          <c:y val="0.0281624154086413"/>
          <c:w val="0.701719813686851"/>
          <c:h val="0.85450286309214"/>
        </c:manualLayout>
      </c:layout>
      <c:lineChart>
        <c:grouping val="standard"/>
        <c:varyColors val="0"/>
        <c:ser>
          <c:idx val="0"/>
          <c:order val="0"/>
          <c:tx>
            <c:strRef>
              <c:f>'B. atrox'!$F$57</c:f>
              <c:strCache>
                <c:ptCount val="1"/>
                <c:pt idx="0">
                  <c:v>Ave. TF</c:v>
                </c:pt>
              </c:strCache>
            </c:strRef>
          </c:tx>
          <c:spPr>
            <a:solidFill>
              <a:srgbClr val="ff420e"/>
            </a:solidFill>
            <a:ln w="28800">
              <a:noFill/>
            </a:ln>
          </c:spPr>
          <c:marker>
            <c:symbol val="circle"/>
            <c:size val="8"/>
            <c:spPr>
              <a:solidFill>
                <a:srgbClr val="ff420e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'B. atrox'!$F$58:$F$65</c:f>
              <c:numCache>
                <c:formatCode>General</c:formatCode>
                <c:ptCount val="8"/>
                <c:pt idx="0">
                  <c:v>0.4125</c:v>
                </c:pt>
                <c:pt idx="1">
                  <c:v>0.411</c:v>
                </c:pt>
                <c:pt idx="2">
                  <c:v>0.313</c:v>
                </c:pt>
                <c:pt idx="3">
                  <c:v>0.086</c:v>
                </c:pt>
                <c:pt idx="4">
                  <c:v>0.0555</c:v>
                </c:pt>
                <c:pt idx="5">
                  <c:v>0.054</c:v>
                </c:pt>
                <c:pt idx="6">
                  <c:v>0.0285</c:v>
                </c:pt>
                <c:pt idx="7">
                  <c:v>0.061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'B. atrox'!$G$57</c:f>
              <c:strCache>
                <c:ptCount val="1"/>
                <c:pt idx="0">
                  <c:v>Fit TF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'B. atrox'!$G$58:$G$65</c:f>
              <c:numCache>
                <c:formatCode>General</c:formatCode>
                <c:ptCount val="8"/>
                <c:pt idx="0">
                  <c:v>0.412107186241289</c:v>
                </c:pt>
                <c:pt idx="1">
                  <c:v>0.406309961589321</c:v>
                </c:pt>
                <c:pt idx="2">
                  <c:v>0.332744206683231</c:v>
                </c:pt>
                <c:pt idx="3">
                  <c:v>0.102427132489743</c:v>
                </c:pt>
                <c:pt idx="4">
                  <c:v>0.0341380326648819</c:v>
                </c:pt>
                <c:pt idx="5">
                  <c:v>0.0288572951116491</c:v>
                </c:pt>
                <c:pt idx="6">
                  <c:v>0.0285223504408239</c:v>
                </c:pt>
                <c:pt idx="7">
                  <c:v>0.0285013969787797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'B. atrox'!$H$57</c:f>
              <c:strCache>
                <c:ptCount val="1"/>
                <c:pt idx="0">
                  <c:v>Ave. BS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'B. atrox'!$H$58:$H$65</c:f>
              <c:numCache>
                <c:formatCode>General</c:formatCode>
                <c:ptCount val="8"/>
                <c:pt idx="0">
                  <c:v>0.434</c:v>
                </c:pt>
                <c:pt idx="1">
                  <c:v>0.476</c:v>
                </c:pt>
                <c:pt idx="2">
                  <c:v>0.448</c:v>
                </c:pt>
                <c:pt idx="3">
                  <c:v>0.2485</c:v>
                </c:pt>
                <c:pt idx="4">
                  <c:v>0.175</c:v>
                </c:pt>
                <c:pt idx="5">
                  <c:v>0.01875</c:v>
                </c:pt>
                <c:pt idx="6">
                  <c:v>0</c:v>
                </c:pt>
                <c:pt idx="7">
                  <c:v>0.0285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'B. atrox'!$I$57</c:f>
              <c:strCache>
                <c:ptCount val="1"/>
                <c:pt idx="0">
                  <c:v>Fit BS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'B. atrox'!$I$58:$I$65</c:f>
              <c:numCache>
                <c:formatCode>General</c:formatCode>
                <c:ptCount val="8"/>
                <c:pt idx="0">
                  <c:v>0.468729625395307</c:v>
                </c:pt>
                <c:pt idx="1">
                  <c:v>0.451626966974562</c:v>
                </c:pt>
                <c:pt idx="2">
                  <c:v>0.400880601418669</c:v>
                </c:pt>
                <c:pt idx="3">
                  <c:v>0.289174095295853</c:v>
                </c:pt>
                <c:pt idx="4">
                  <c:v>0.149926401960821</c:v>
                </c:pt>
                <c:pt idx="5">
                  <c:v>0.0611264655457718</c:v>
                </c:pt>
                <c:pt idx="6">
                  <c:v>0.025927886477988</c:v>
                </c:pt>
                <c:pt idx="7">
                  <c:v>0.0146883120775369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'B. atrox'!$J$57</c:f>
              <c:strCache>
                <c:ptCount val="1"/>
                <c:pt idx="0">
                  <c:v>Ave. RM</c:v>
                </c:pt>
              </c:strCache>
            </c:strRef>
          </c:tx>
          <c:spPr>
            <a:solidFill>
              <a:srgbClr val="ffc000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'B. atrox'!$J$58:$J$65</c:f>
              <c:numCache>
                <c:formatCode>General</c:formatCode>
                <c:ptCount val="8"/>
                <c:pt idx="0">
                  <c:v>0.2265</c:v>
                </c:pt>
                <c:pt idx="1">
                  <c:v>0.3825</c:v>
                </c:pt>
                <c:pt idx="2">
                  <c:v>1.0035</c:v>
                </c:pt>
                <c:pt idx="3">
                  <c:v>0.349</c:v>
                </c:pt>
                <c:pt idx="4">
                  <c:v>0.251</c:v>
                </c:pt>
                <c:pt idx="5">
                  <c:v>0.085</c:v>
                </c:pt>
                <c:pt idx="6">
                  <c:v>0.000750000000000001</c:v>
                </c:pt>
                <c:pt idx="7">
                  <c:v>0.032</c:v>
                </c:pt>
              </c:numCache>
            </c:numRef>
          </c:val>
          <c:smooth val="1"/>
        </c:ser>
        <c:ser>
          <c:idx val="5"/>
          <c:order val="5"/>
          <c:tx>
            <c:strRef>
              <c:f>'B. atrox'!$K$57</c:f>
              <c:strCache>
                <c:ptCount val="1"/>
                <c:pt idx="0">
                  <c:v>Fit. RM</c:v>
                </c:pt>
              </c:strCache>
            </c:strRef>
          </c:tx>
          <c:spPr>
            <a:solidFill>
              <a:srgbClr val="ffc000"/>
            </a:solidFill>
            <a:ln cap="rnd" w="28440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'B. atrox'!$K$58:$K$65</c:f>
              <c:numCache>
                <c:formatCode>General</c:formatCode>
                <c:ptCount val="8"/>
                <c:pt idx="0">
                  <c:v>0.399817037305775</c:v>
                </c:pt>
                <c:pt idx="1">
                  <c:v>0.398893286171918</c:v>
                </c:pt>
                <c:pt idx="2">
                  <c:v>0.393382891564327</c:v>
                </c:pt>
                <c:pt idx="3">
                  <c:v>0.362983563943753</c:v>
                </c:pt>
                <c:pt idx="4">
                  <c:v>0.247206406432867</c:v>
                </c:pt>
                <c:pt idx="5">
                  <c:v>0.0843877684007126</c:v>
                </c:pt>
                <c:pt idx="6">
                  <c:v>0.0170867984786105</c:v>
                </c:pt>
                <c:pt idx="7">
                  <c:v>0.00312826880726376</c:v>
                </c:pt>
              </c:numCache>
            </c:numRef>
          </c:val>
          <c:smooth val="1"/>
        </c:ser>
        <c:ser>
          <c:idx val="6"/>
          <c:order val="6"/>
          <c:tx>
            <c:strRef>
              <c:f>'B. atrox'!$L$57</c:f>
              <c:strCache>
                <c:ptCount val="1"/>
                <c:pt idx="0">
                  <c:v>Ave. DC</c:v>
                </c:pt>
              </c:strCache>
            </c:strRef>
          </c:tx>
          <c:spPr>
            <a:solidFill>
              <a:srgbClr val="4472c4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'B. atrox'!$L$58:$L$65</c:f>
              <c:numCache>
                <c:formatCode>General</c:formatCode>
                <c:ptCount val="8"/>
                <c:pt idx="0">
                  <c:v>0.3875</c:v>
                </c:pt>
                <c:pt idx="1">
                  <c:v>0.384</c:v>
                </c:pt>
                <c:pt idx="2">
                  <c:v>0.2945</c:v>
                </c:pt>
                <c:pt idx="3">
                  <c:v>0.283</c:v>
                </c:pt>
                <c:pt idx="4">
                  <c:v>0.149</c:v>
                </c:pt>
                <c:pt idx="5">
                  <c:v>0.00874999999999999</c:v>
                </c:pt>
                <c:pt idx="6">
                  <c:v>0</c:v>
                </c:pt>
                <c:pt idx="7">
                  <c:v>0.053</c:v>
                </c:pt>
              </c:numCache>
            </c:numRef>
          </c:val>
          <c:smooth val="1"/>
        </c:ser>
        <c:ser>
          <c:idx val="7"/>
          <c:order val="7"/>
          <c:tx>
            <c:strRef>
              <c:f>'B. atrox'!$M$57</c:f>
              <c:strCache>
                <c:ptCount val="1"/>
                <c:pt idx="0">
                  <c:v>Fit DC</c:v>
                </c:pt>
              </c:strCache>
            </c:strRef>
          </c:tx>
          <c:spPr>
            <a:solidFill>
              <a:srgbClr val="4472c4"/>
            </a:solidFill>
            <a:ln cap="rnd" w="2844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'B. atrox'!$M$58:$M$65</c:f>
              <c:numCache>
                <c:formatCode>General</c:formatCode>
                <c:ptCount val="8"/>
                <c:pt idx="0">
                  <c:v>0.386497085589771</c:v>
                </c:pt>
                <c:pt idx="1">
                  <c:v>0.382264554208739</c:v>
                </c:pt>
                <c:pt idx="2">
                  <c:v>0.361377051326092</c:v>
                </c:pt>
                <c:pt idx="3">
                  <c:v>0.28048524941125</c:v>
                </c:pt>
                <c:pt idx="4">
                  <c:v>0.128577343317557</c:v>
                </c:pt>
                <c:pt idx="5">
                  <c:v>0.0333229064383008</c:v>
                </c:pt>
                <c:pt idx="6">
                  <c:v>0.00678654357216427</c:v>
                </c:pt>
                <c:pt idx="7">
                  <c:v>0.00130432503639328</c:v>
                </c:pt>
              </c:numCache>
            </c:numRef>
          </c:val>
          <c:smooth val="1"/>
        </c:ser>
        <c:ser>
          <c:idx val="8"/>
          <c:order val="8"/>
          <c:tx>
            <c:strRef>
              <c:f>'B. atrox'!$P$57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'B. atrox'!$P$58:$P$65</c:f>
              <c:numCache>
                <c:formatCode>General</c:formatCode>
                <c:ptCount val="8"/>
                <c:pt idx="0">
                  <c:v>0.00800000000000001</c:v>
                </c:pt>
                <c:pt idx="1">
                  <c:v>0.088</c:v>
                </c:pt>
                <c:pt idx="2">
                  <c:v>0.022</c:v>
                </c:pt>
                <c:pt idx="3">
                  <c:v>0</c:v>
                </c:pt>
                <c:pt idx="4">
                  <c:v>0</c:v>
                </c:pt>
                <c:pt idx="5">
                  <c:v>0.00375</c:v>
                </c:pt>
                <c:pt idx="6">
                  <c:v>0.01825</c:v>
                </c:pt>
              </c:numCache>
            </c:numRef>
          </c:val>
          <c:smooth val="1"/>
        </c:ser>
        <c:ser>
          <c:idx val="9"/>
          <c:order val="9"/>
          <c:tx>
            <c:strRef>
              <c:f>'B. atrox'!$Q$57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atrox'!$C$46:$C$53</c:f>
              <c:strCache>
                <c:ptCount val="8"/>
                <c:pt idx="0">
                  <c:v>100</c:v>
                </c:pt>
                <c:pt idx="1">
                  <c:v>400</c:v>
                </c:pt>
                <c:pt idx="2">
                  <c:v>1,600</c:v>
                </c:pt>
                <c:pt idx="3">
                  <c:v>6,400</c:v>
                </c:pt>
                <c:pt idx="4">
                  <c:v>25,600</c:v>
                </c:pt>
                <c:pt idx="5">
                  <c:v>102,400</c:v>
                </c:pt>
                <c:pt idx="6">
                  <c:v>409,600</c:v>
                </c:pt>
                <c:pt idx="7">
                  <c:v>1,638,400</c:v>
                </c:pt>
              </c:strCache>
            </c:strRef>
          </c:cat>
          <c:val>
            <c:numRef>
              <c:f>'B. atrox'!$Q$58:$Q$65</c:f>
              <c:numCache>
                <c:formatCode>General</c:formatCode>
                <c:ptCount val="8"/>
                <c:pt idx="0">
                  <c:v>0.0871287128712871</c:v>
                </c:pt>
                <c:pt idx="1">
                  <c:v>0.0758620689655172</c:v>
                </c:pt>
                <c:pt idx="2">
                  <c:v>0.0247191011235955</c:v>
                </c:pt>
                <c:pt idx="3">
                  <c:v>0.00209723546234509</c:v>
                </c:pt>
                <c:pt idx="4">
                  <c:v>0.000134072764946066</c:v>
                </c:pt>
                <c:pt idx="5">
                  <c:v>8.391533705358E-006</c:v>
                </c:pt>
                <c:pt idx="6">
                  <c:v>5.24517747654035E-007</c:v>
                </c:pt>
              </c:numCache>
            </c:numRef>
          </c:val>
          <c:smooth val="1"/>
        </c:ser>
        <c:hiLowLines>
          <c:spPr>
            <a:ln w="0">
              <a:noFill/>
            </a:ln>
          </c:spPr>
        </c:hiLowLines>
        <c:marker val="1"/>
        <c:axId val="74942213"/>
        <c:axId val="69905723"/>
      </c:lineChart>
      <c:catAx>
        <c:axId val="74942213"/>
        <c:scaling>
          <c:orientation val="minMax"/>
        </c:scaling>
        <c:delete val="0"/>
        <c:axPos val="b"/>
        <c:majorGridlines>
          <c:spPr>
            <a:ln w="0">
              <a:solidFill>
                <a:srgbClr val="b3b3b3"/>
              </a:solidFill>
            </a:ln>
          </c:spPr>
        </c:majorGridlines>
        <c:minorGridlines>
          <c:spPr>
            <a:ln w="0">
              <a:solidFill>
                <a:srgbClr val="dddddd"/>
              </a:solidFill>
            </a:ln>
          </c:spPr>
        </c:minorGridlines>
        <c:title>
          <c:tx>
            <c:rich>
              <a:bodyPr rot="0"/>
              <a:lstStyle/>
              <a:p>
                <a:pPr>
                  <a:defRPr b="0" lang="en-US" sz="1200" spc="-1" strike="noStrike">
                    <a:latin typeface="Arial"/>
                  </a:defRPr>
                </a:pPr>
                <a:r>
                  <a:rPr b="0" lang="en-US" sz="1200" spc="-1" strike="noStrike">
                    <a:latin typeface="Arial"/>
                  </a:rPr>
                  <a:t>Titer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12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69905723"/>
        <c:crosses val="autoZero"/>
        <c:auto val="1"/>
        <c:lblAlgn val="ctr"/>
        <c:lblOffset val="100"/>
        <c:noMultiLvlLbl val="0"/>
      </c:catAx>
      <c:valAx>
        <c:axId val="69905723"/>
        <c:scaling>
          <c:orientation val="minMax"/>
          <c:max val="0.6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0">
              <a:solidFill>
                <a:srgbClr val="dddddd"/>
              </a:solidFill>
            </a:ln>
          </c:spPr>
        </c:min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74942213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78753135077033"/>
          <c:y val="0.217230609057782"/>
          <c:w val="0.207703792176769"/>
          <c:h val="0.47076891040658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9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76685345559518"/>
          <c:y val="0.0772291820191599"/>
          <c:w val="0.701647138733232"/>
          <c:h val="0.6551215917465"/>
        </c:manualLayout>
      </c:layout>
      <c:lineChart>
        <c:grouping val="standard"/>
        <c:varyColors val="0"/>
        <c:ser>
          <c:idx val="0"/>
          <c:order val="0"/>
          <c:tx>
            <c:strRef>
              <c:f>'B. atrox'!$F$57</c:f>
              <c:strCache>
                <c:ptCount val="1"/>
                <c:pt idx="0">
                  <c:v>Ave. TF</c:v>
                </c:pt>
              </c:strCache>
            </c:strRef>
          </c:tx>
          <c:spPr>
            <a:solidFill>
              <a:srgbClr val="ed7d31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atrox'!$F$58:$F$65</c:f>
              <c:numCache>
                <c:formatCode>General</c:formatCode>
                <c:ptCount val="8"/>
                <c:pt idx="0">
                  <c:v>0.4125</c:v>
                </c:pt>
                <c:pt idx="1">
                  <c:v>0.411</c:v>
                </c:pt>
                <c:pt idx="2">
                  <c:v>0.313</c:v>
                </c:pt>
                <c:pt idx="3">
                  <c:v>0.086</c:v>
                </c:pt>
                <c:pt idx="4">
                  <c:v>0.0555</c:v>
                </c:pt>
                <c:pt idx="5">
                  <c:v>0.054</c:v>
                </c:pt>
                <c:pt idx="6">
                  <c:v>0.0285</c:v>
                </c:pt>
                <c:pt idx="7">
                  <c:v>0.061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'B. atrox'!$G$57</c:f>
              <c:strCache>
                <c:ptCount val="1"/>
                <c:pt idx="0">
                  <c:v>Fit TF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atrox'!$G$58:$G$65</c:f>
              <c:numCache>
                <c:formatCode>General</c:formatCode>
                <c:ptCount val="8"/>
                <c:pt idx="0">
                  <c:v>0.412107186241289</c:v>
                </c:pt>
                <c:pt idx="1">
                  <c:v>0.406309961589321</c:v>
                </c:pt>
                <c:pt idx="2">
                  <c:v>0.332744206683231</c:v>
                </c:pt>
                <c:pt idx="3">
                  <c:v>0.102427132489743</c:v>
                </c:pt>
                <c:pt idx="4">
                  <c:v>0.0341380326648819</c:v>
                </c:pt>
                <c:pt idx="5">
                  <c:v>0.0288572951116491</c:v>
                </c:pt>
                <c:pt idx="6">
                  <c:v>0.0285223504408239</c:v>
                </c:pt>
                <c:pt idx="7">
                  <c:v>0.0285013969787797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'B. atrox'!$P$57</c:f>
              <c:strCache>
                <c:ptCount val="1"/>
                <c:pt idx="0">
                  <c:v>Ave. CTL</c:v>
                </c:pt>
              </c:strCache>
            </c:strRef>
          </c:tx>
          <c:spPr>
            <a:solidFill>
              <a:srgbClr val="70ad47"/>
            </a:solidFill>
            <a:ln w="28440">
              <a:noFill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atrox'!$P$58:$P$65</c:f>
              <c:numCache>
                <c:formatCode>General</c:formatCode>
                <c:ptCount val="8"/>
                <c:pt idx="0">
                  <c:v>0.00800000000000001</c:v>
                </c:pt>
                <c:pt idx="1">
                  <c:v>0.088</c:v>
                </c:pt>
                <c:pt idx="2">
                  <c:v>0.022</c:v>
                </c:pt>
                <c:pt idx="3">
                  <c:v>0</c:v>
                </c:pt>
                <c:pt idx="4">
                  <c:v>0</c:v>
                </c:pt>
                <c:pt idx="5">
                  <c:v>0.00375</c:v>
                </c:pt>
                <c:pt idx="6">
                  <c:v>0.01825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'B. atrox'!$Q$57</c:f>
              <c:strCache>
                <c:ptCount val="1"/>
                <c:pt idx="0">
                  <c:v>Fit CTL</c:v>
                </c:pt>
              </c:strCache>
            </c:strRef>
          </c:tx>
          <c:spPr>
            <a:solidFill>
              <a:srgbClr val="70ad47"/>
            </a:solidFill>
            <a:ln cap="rnd" w="2844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en-US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'B. atrox'!$E$46:$E$53</c:f>
              <c:strCache>
                <c:ptCount val="8"/>
                <c:pt idx="0">
                  <c:v>0.01000000</c:v>
                </c:pt>
                <c:pt idx="1">
                  <c:v>0.00250000</c:v>
                </c:pt>
                <c:pt idx="2">
                  <c:v>0.00062500</c:v>
                </c:pt>
                <c:pt idx="3">
                  <c:v>0.00015625</c:v>
                </c:pt>
                <c:pt idx="4">
                  <c:v>0.00003906</c:v>
                </c:pt>
                <c:pt idx="5">
                  <c:v>0.00000977</c:v>
                </c:pt>
                <c:pt idx="6">
                  <c:v>0.00000244</c:v>
                </c:pt>
                <c:pt idx="7">
                  <c:v>0.00000061</c:v>
                </c:pt>
              </c:strCache>
            </c:strRef>
          </c:cat>
          <c:val>
            <c:numRef>
              <c:f>'B. atrox'!$Q$58:$Q$65</c:f>
              <c:numCache>
                <c:formatCode>General</c:formatCode>
                <c:ptCount val="8"/>
                <c:pt idx="0">
                  <c:v>0.0871287128712871</c:v>
                </c:pt>
                <c:pt idx="1">
                  <c:v>0.0758620689655172</c:v>
                </c:pt>
                <c:pt idx="2">
                  <c:v>0.0247191011235955</c:v>
                </c:pt>
                <c:pt idx="3">
                  <c:v>0.00209723546234509</c:v>
                </c:pt>
                <c:pt idx="4">
                  <c:v>0.000134072764946066</c:v>
                </c:pt>
                <c:pt idx="5">
                  <c:v>8.391533705358E-006</c:v>
                </c:pt>
                <c:pt idx="6">
                  <c:v>5.24517747654035E-007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6696002"/>
        <c:axId val="38785315"/>
      </c:lineChart>
      <c:catAx>
        <c:axId val="6696002"/>
        <c:scaling>
          <c:orientation val="minMax"/>
        </c:scaling>
        <c:delete val="0"/>
        <c:axPos val="b"/>
        <c:numFmt formatCode="0.000000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 rot="-5400000"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38785315"/>
        <c:crosses val="autoZero"/>
        <c:auto val="1"/>
        <c:lblAlgn val="ctr"/>
        <c:lblOffset val="100"/>
        <c:noMultiLvlLbl val="0"/>
      </c:catAx>
      <c:valAx>
        <c:axId val="38785315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lang="en-US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6696002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790202071659025"/>
          <c:y val="0.0318349299926308"/>
          <c:w val="0.207692960855906"/>
          <c:h val="0.393278301886792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en-US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4.png"/><Relationship Id="rId2" Type="http://schemas.openxmlformats.org/officeDocument/2006/relationships/chart" Target="../charts/chart174.xml"/><Relationship Id="rId3" Type="http://schemas.openxmlformats.org/officeDocument/2006/relationships/chart" Target="../charts/chart175.xml"/><Relationship Id="rId4" Type="http://schemas.openxmlformats.org/officeDocument/2006/relationships/chart" Target="../charts/chart176.xml"/><Relationship Id="rId5" Type="http://schemas.openxmlformats.org/officeDocument/2006/relationships/chart" Target="../charts/chart177.xml"/><Relationship Id="rId6" Type="http://schemas.openxmlformats.org/officeDocument/2006/relationships/chart" Target="../charts/chart178.xml"/><Relationship Id="rId7" Type="http://schemas.openxmlformats.org/officeDocument/2006/relationships/chart" Target="../charts/chart179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5.png"/><Relationship Id="rId2" Type="http://schemas.openxmlformats.org/officeDocument/2006/relationships/chart" Target="../charts/chart180.xml"/><Relationship Id="rId3" Type="http://schemas.openxmlformats.org/officeDocument/2006/relationships/chart" Target="../charts/chart181.xml"/><Relationship Id="rId4" Type="http://schemas.openxmlformats.org/officeDocument/2006/relationships/chart" Target="../charts/chart182.xml"/><Relationship Id="rId5" Type="http://schemas.openxmlformats.org/officeDocument/2006/relationships/chart" Target="../charts/chart183.xml"/><Relationship Id="rId6" Type="http://schemas.openxmlformats.org/officeDocument/2006/relationships/chart" Target="../charts/chart184.xml"/><Relationship Id="rId7" Type="http://schemas.openxmlformats.org/officeDocument/2006/relationships/chart" Target="../charts/chart185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26.png"/><Relationship Id="rId2" Type="http://schemas.openxmlformats.org/officeDocument/2006/relationships/chart" Target="../charts/chart186.xml"/><Relationship Id="rId3" Type="http://schemas.openxmlformats.org/officeDocument/2006/relationships/chart" Target="../charts/chart187.xml"/><Relationship Id="rId4" Type="http://schemas.openxmlformats.org/officeDocument/2006/relationships/chart" Target="../charts/chart188.xml"/><Relationship Id="rId5" Type="http://schemas.openxmlformats.org/officeDocument/2006/relationships/chart" Target="../charts/chart189.xml"/><Relationship Id="rId6" Type="http://schemas.openxmlformats.org/officeDocument/2006/relationships/chart" Target="../charts/chart190.xml"/><Relationship Id="rId7" Type="http://schemas.openxmlformats.org/officeDocument/2006/relationships/chart" Target="../charts/chart19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49680</xdr:colOff>
      <xdr:row>56</xdr:row>
      <xdr:rowOff>35280</xdr:rowOff>
    </xdr:from>
    <xdr:to>
      <xdr:col>4</xdr:col>
      <xdr:colOff>268200</xdr:colOff>
      <xdr:row>62</xdr:row>
      <xdr:rowOff>84240</xdr:rowOff>
    </xdr:to>
    <xdr:pic>
      <xdr:nvPicPr>
        <xdr:cNvPr id="0" name="Image 1_0" descr=""/>
        <xdr:cNvPicPr/>
      </xdr:nvPicPr>
      <xdr:blipFill>
        <a:blip r:embed="rId1"/>
        <a:stretch/>
      </xdr:blipFill>
      <xdr:spPr>
        <a:xfrm>
          <a:off x="49680" y="9865080"/>
          <a:ext cx="3972600" cy="1227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87</xdr:row>
      <xdr:rowOff>27000</xdr:rowOff>
    </xdr:from>
    <xdr:to>
      <xdr:col>4</xdr:col>
      <xdr:colOff>487080</xdr:colOff>
      <xdr:row>101</xdr:row>
      <xdr:rowOff>15840</xdr:rowOff>
    </xdr:to>
    <xdr:graphicFrame>
      <xdr:nvGraphicFramePr>
        <xdr:cNvPr id="1" name="Chart 12_1"/>
        <xdr:cNvGraphicFramePr/>
      </xdr:nvGraphicFramePr>
      <xdr:xfrm>
        <a:off x="0" y="15544800"/>
        <a:ext cx="4241160" cy="2442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</xdr:col>
      <xdr:colOff>397800</xdr:colOff>
      <xdr:row>87</xdr:row>
      <xdr:rowOff>34560</xdr:rowOff>
    </xdr:from>
    <xdr:to>
      <xdr:col>12</xdr:col>
      <xdr:colOff>156960</xdr:colOff>
      <xdr:row>101</xdr:row>
      <xdr:rowOff>23040</xdr:rowOff>
    </xdr:to>
    <xdr:graphicFrame>
      <xdr:nvGraphicFramePr>
        <xdr:cNvPr id="2" name="Chart 13_0"/>
        <xdr:cNvGraphicFramePr/>
      </xdr:nvGraphicFramePr>
      <xdr:xfrm>
        <a:off x="4964400" y="15552360"/>
        <a:ext cx="4248720" cy="2442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12</xdr:col>
      <xdr:colOff>176760</xdr:colOff>
      <xdr:row>87</xdr:row>
      <xdr:rowOff>30600</xdr:rowOff>
    </xdr:from>
    <xdr:to>
      <xdr:col>19</xdr:col>
      <xdr:colOff>505440</xdr:colOff>
      <xdr:row>101</xdr:row>
      <xdr:rowOff>19080</xdr:rowOff>
    </xdr:to>
    <xdr:graphicFrame>
      <xdr:nvGraphicFramePr>
        <xdr:cNvPr id="3" name="Chart 14_0"/>
        <xdr:cNvGraphicFramePr/>
      </xdr:nvGraphicFramePr>
      <xdr:xfrm>
        <a:off x="9232920" y="15548400"/>
        <a:ext cx="4246560" cy="2442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19</xdr:col>
      <xdr:colOff>560880</xdr:colOff>
      <xdr:row>87</xdr:row>
      <xdr:rowOff>28080</xdr:rowOff>
    </xdr:from>
    <xdr:to>
      <xdr:col>26</xdr:col>
      <xdr:colOff>536400</xdr:colOff>
      <xdr:row>101</xdr:row>
      <xdr:rowOff>16560</xdr:rowOff>
    </xdr:to>
    <xdr:graphicFrame>
      <xdr:nvGraphicFramePr>
        <xdr:cNvPr id="4" name="Chart 15_0"/>
        <xdr:cNvGraphicFramePr/>
      </xdr:nvGraphicFramePr>
      <xdr:xfrm>
        <a:off x="13534920" y="15545880"/>
        <a:ext cx="4238280" cy="2442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17</xdr:col>
      <xdr:colOff>607320</xdr:colOff>
      <xdr:row>44</xdr:row>
      <xdr:rowOff>164160</xdr:rowOff>
    </xdr:from>
    <xdr:to>
      <xdr:col>27</xdr:col>
      <xdr:colOff>545760</xdr:colOff>
      <xdr:row>82</xdr:row>
      <xdr:rowOff>149040</xdr:rowOff>
    </xdr:to>
    <xdr:graphicFrame>
      <xdr:nvGraphicFramePr>
        <xdr:cNvPr id="5" name="Chart 16_0"/>
        <xdr:cNvGraphicFramePr/>
      </xdr:nvGraphicFramePr>
      <xdr:xfrm>
        <a:off x="12363480" y="7875360"/>
        <a:ext cx="6028200" cy="6915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0</xdr:col>
      <xdr:colOff>360</xdr:colOff>
      <xdr:row>72</xdr:row>
      <xdr:rowOff>170280</xdr:rowOff>
    </xdr:from>
    <xdr:to>
      <xdr:col>4</xdr:col>
      <xdr:colOff>487440</xdr:colOff>
      <xdr:row>86</xdr:row>
      <xdr:rowOff>158760</xdr:rowOff>
    </xdr:to>
    <xdr:graphicFrame>
      <xdr:nvGraphicFramePr>
        <xdr:cNvPr id="6" name="Chart 12_2"/>
        <xdr:cNvGraphicFramePr/>
      </xdr:nvGraphicFramePr>
      <xdr:xfrm>
        <a:off x="360" y="13059360"/>
        <a:ext cx="4241160" cy="2442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49680</xdr:colOff>
      <xdr:row>56</xdr:row>
      <xdr:rowOff>35280</xdr:rowOff>
    </xdr:from>
    <xdr:to>
      <xdr:col>4</xdr:col>
      <xdr:colOff>268200</xdr:colOff>
      <xdr:row>62</xdr:row>
      <xdr:rowOff>84240</xdr:rowOff>
    </xdr:to>
    <xdr:pic>
      <xdr:nvPicPr>
        <xdr:cNvPr id="7" name="Image 1_0" descr=""/>
        <xdr:cNvPicPr/>
      </xdr:nvPicPr>
      <xdr:blipFill>
        <a:blip r:embed="rId1"/>
        <a:stretch/>
      </xdr:blipFill>
      <xdr:spPr>
        <a:xfrm>
          <a:off x="49680" y="9865080"/>
          <a:ext cx="3972600" cy="1227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87</xdr:row>
      <xdr:rowOff>27000</xdr:rowOff>
    </xdr:from>
    <xdr:to>
      <xdr:col>4</xdr:col>
      <xdr:colOff>487080</xdr:colOff>
      <xdr:row>101</xdr:row>
      <xdr:rowOff>15840</xdr:rowOff>
    </xdr:to>
    <xdr:graphicFrame>
      <xdr:nvGraphicFramePr>
        <xdr:cNvPr id="8" name="Chart 12_1"/>
        <xdr:cNvGraphicFramePr/>
      </xdr:nvGraphicFramePr>
      <xdr:xfrm>
        <a:off x="0" y="15544800"/>
        <a:ext cx="4241160" cy="2442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</xdr:col>
      <xdr:colOff>397800</xdr:colOff>
      <xdr:row>87</xdr:row>
      <xdr:rowOff>34560</xdr:rowOff>
    </xdr:from>
    <xdr:to>
      <xdr:col>12</xdr:col>
      <xdr:colOff>156960</xdr:colOff>
      <xdr:row>101</xdr:row>
      <xdr:rowOff>23040</xdr:rowOff>
    </xdr:to>
    <xdr:graphicFrame>
      <xdr:nvGraphicFramePr>
        <xdr:cNvPr id="9" name="Chart 13_0"/>
        <xdr:cNvGraphicFramePr/>
      </xdr:nvGraphicFramePr>
      <xdr:xfrm>
        <a:off x="4964400" y="15552360"/>
        <a:ext cx="4248720" cy="2442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12</xdr:col>
      <xdr:colOff>176760</xdr:colOff>
      <xdr:row>87</xdr:row>
      <xdr:rowOff>30600</xdr:rowOff>
    </xdr:from>
    <xdr:to>
      <xdr:col>19</xdr:col>
      <xdr:colOff>505440</xdr:colOff>
      <xdr:row>101</xdr:row>
      <xdr:rowOff>19080</xdr:rowOff>
    </xdr:to>
    <xdr:graphicFrame>
      <xdr:nvGraphicFramePr>
        <xdr:cNvPr id="10" name="Chart 14_0"/>
        <xdr:cNvGraphicFramePr/>
      </xdr:nvGraphicFramePr>
      <xdr:xfrm>
        <a:off x="9232920" y="15548400"/>
        <a:ext cx="4246560" cy="2442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19</xdr:col>
      <xdr:colOff>560880</xdr:colOff>
      <xdr:row>87</xdr:row>
      <xdr:rowOff>28080</xdr:rowOff>
    </xdr:from>
    <xdr:to>
      <xdr:col>26</xdr:col>
      <xdr:colOff>536400</xdr:colOff>
      <xdr:row>101</xdr:row>
      <xdr:rowOff>16560</xdr:rowOff>
    </xdr:to>
    <xdr:graphicFrame>
      <xdr:nvGraphicFramePr>
        <xdr:cNvPr id="11" name="Chart 15_0"/>
        <xdr:cNvGraphicFramePr/>
      </xdr:nvGraphicFramePr>
      <xdr:xfrm>
        <a:off x="13534920" y="15545880"/>
        <a:ext cx="4238280" cy="2442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17</xdr:col>
      <xdr:colOff>607320</xdr:colOff>
      <xdr:row>44</xdr:row>
      <xdr:rowOff>164160</xdr:rowOff>
    </xdr:from>
    <xdr:to>
      <xdr:col>27</xdr:col>
      <xdr:colOff>545760</xdr:colOff>
      <xdr:row>82</xdr:row>
      <xdr:rowOff>149040</xdr:rowOff>
    </xdr:to>
    <xdr:graphicFrame>
      <xdr:nvGraphicFramePr>
        <xdr:cNvPr id="12" name="Chart 16_0"/>
        <xdr:cNvGraphicFramePr/>
      </xdr:nvGraphicFramePr>
      <xdr:xfrm>
        <a:off x="12363480" y="7875360"/>
        <a:ext cx="6028200" cy="6915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0</xdr:col>
      <xdr:colOff>360</xdr:colOff>
      <xdr:row>72</xdr:row>
      <xdr:rowOff>170280</xdr:rowOff>
    </xdr:from>
    <xdr:to>
      <xdr:col>4</xdr:col>
      <xdr:colOff>487440</xdr:colOff>
      <xdr:row>86</xdr:row>
      <xdr:rowOff>158760</xdr:rowOff>
    </xdr:to>
    <xdr:graphicFrame>
      <xdr:nvGraphicFramePr>
        <xdr:cNvPr id="13" name="Chart 12_2"/>
        <xdr:cNvGraphicFramePr/>
      </xdr:nvGraphicFramePr>
      <xdr:xfrm>
        <a:off x="360" y="13059360"/>
        <a:ext cx="4241160" cy="2442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49680</xdr:colOff>
      <xdr:row>56</xdr:row>
      <xdr:rowOff>35280</xdr:rowOff>
    </xdr:from>
    <xdr:to>
      <xdr:col>4</xdr:col>
      <xdr:colOff>267120</xdr:colOff>
      <xdr:row>62</xdr:row>
      <xdr:rowOff>84600</xdr:rowOff>
    </xdr:to>
    <xdr:pic>
      <xdr:nvPicPr>
        <xdr:cNvPr id="14" name="Image 1_0" descr=""/>
        <xdr:cNvPicPr/>
      </xdr:nvPicPr>
      <xdr:blipFill>
        <a:blip r:embed="rId1"/>
        <a:stretch/>
      </xdr:blipFill>
      <xdr:spPr>
        <a:xfrm>
          <a:off x="49680" y="9865080"/>
          <a:ext cx="3971520" cy="1228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87</xdr:row>
      <xdr:rowOff>27000</xdr:rowOff>
    </xdr:from>
    <xdr:to>
      <xdr:col>4</xdr:col>
      <xdr:colOff>485640</xdr:colOff>
      <xdr:row>101</xdr:row>
      <xdr:rowOff>15840</xdr:rowOff>
    </xdr:to>
    <xdr:graphicFrame>
      <xdr:nvGraphicFramePr>
        <xdr:cNvPr id="15" name="Chart 12_1"/>
        <xdr:cNvGraphicFramePr/>
      </xdr:nvGraphicFramePr>
      <xdr:xfrm>
        <a:off x="0" y="15544800"/>
        <a:ext cx="4239720" cy="2442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</xdr:col>
      <xdr:colOff>396720</xdr:colOff>
      <xdr:row>87</xdr:row>
      <xdr:rowOff>34560</xdr:rowOff>
    </xdr:from>
    <xdr:to>
      <xdr:col>12</xdr:col>
      <xdr:colOff>156240</xdr:colOff>
      <xdr:row>101</xdr:row>
      <xdr:rowOff>23040</xdr:rowOff>
    </xdr:to>
    <xdr:graphicFrame>
      <xdr:nvGraphicFramePr>
        <xdr:cNvPr id="16" name="Chart 13_0"/>
        <xdr:cNvGraphicFramePr/>
      </xdr:nvGraphicFramePr>
      <xdr:xfrm>
        <a:off x="4963320" y="15552360"/>
        <a:ext cx="4249080" cy="2442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12</xdr:col>
      <xdr:colOff>175680</xdr:colOff>
      <xdr:row>87</xdr:row>
      <xdr:rowOff>30600</xdr:rowOff>
    </xdr:from>
    <xdr:to>
      <xdr:col>19</xdr:col>
      <xdr:colOff>504000</xdr:colOff>
      <xdr:row>101</xdr:row>
      <xdr:rowOff>19080</xdr:rowOff>
    </xdr:to>
    <xdr:graphicFrame>
      <xdr:nvGraphicFramePr>
        <xdr:cNvPr id="17" name="Chart 14_0"/>
        <xdr:cNvGraphicFramePr/>
      </xdr:nvGraphicFramePr>
      <xdr:xfrm>
        <a:off x="9231840" y="15548400"/>
        <a:ext cx="4246200" cy="2442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19</xdr:col>
      <xdr:colOff>559800</xdr:colOff>
      <xdr:row>87</xdr:row>
      <xdr:rowOff>28080</xdr:rowOff>
    </xdr:from>
    <xdr:to>
      <xdr:col>26</xdr:col>
      <xdr:colOff>535320</xdr:colOff>
      <xdr:row>101</xdr:row>
      <xdr:rowOff>16560</xdr:rowOff>
    </xdr:to>
    <xdr:graphicFrame>
      <xdr:nvGraphicFramePr>
        <xdr:cNvPr id="18" name="Chart 15_0"/>
        <xdr:cNvGraphicFramePr/>
      </xdr:nvGraphicFramePr>
      <xdr:xfrm>
        <a:off x="13533840" y="15545880"/>
        <a:ext cx="4238280" cy="2442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17</xdr:col>
      <xdr:colOff>606240</xdr:colOff>
      <xdr:row>44</xdr:row>
      <xdr:rowOff>164520</xdr:rowOff>
    </xdr:from>
    <xdr:to>
      <xdr:col>27</xdr:col>
      <xdr:colOff>544680</xdr:colOff>
      <xdr:row>82</xdr:row>
      <xdr:rowOff>149400</xdr:rowOff>
    </xdr:to>
    <xdr:graphicFrame>
      <xdr:nvGraphicFramePr>
        <xdr:cNvPr id="19" name="Chart 16_0"/>
        <xdr:cNvGraphicFramePr/>
      </xdr:nvGraphicFramePr>
      <xdr:xfrm>
        <a:off x="12362400" y="7875720"/>
        <a:ext cx="6028200" cy="6915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0</xdr:col>
      <xdr:colOff>360</xdr:colOff>
      <xdr:row>72</xdr:row>
      <xdr:rowOff>170640</xdr:rowOff>
    </xdr:from>
    <xdr:to>
      <xdr:col>4</xdr:col>
      <xdr:colOff>486000</xdr:colOff>
      <xdr:row>86</xdr:row>
      <xdr:rowOff>159120</xdr:rowOff>
    </xdr:to>
    <xdr:graphicFrame>
      <xdr:nvGraphicFramePr>
        <xdr:cNvPr id="20" name="Chart 12_2"/>
        <xdr:cNvGraphicFramePr/>
      </xdr:nvGraphicFramePr>
      <xdr:xfrm>
        <a:off x="360" y="13059720"/>
        <a:ext cx="4239720" cy="2442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U112"/>
  <sheetViews>
    <sheetView showFormulas="false" showGridLines="true" showRowColHeaders="true" showZeros="true" rightToLeft="false" tabSelected="false" showOutlineSymbols="true" defaultGridColor="true" view="normal" topLeftCell="A57" colorId="64" zoomScale="100" zoomScaleNormal="100" zoomScalePageLayoutView="100" workbookViewId="0">
      <selection pane="topLeft" activeCell="L67" activeCellId="0" sqref="L67"/>
    </sheetView>
  </sheetViews>
  <sheetFormatPr defaultColWidth="7.86328125" defaultRowHeight="13.8" zeroHeight="false" outlineLevelRow="0" outlineLevelCol="0"/>
  <cols>
    <col collapsed="false" customWidth="true" hidden="false" outlineLevel="0" max="1" min="1" style="0" width="21.8"/>
    <col collapsed="false" customWidth="true" hidden="false" outlineLevel="0" max="4" min="2" style="0" width="8.9"/>
    <col collapsed="false" customWidth="true" hidden="false" outlineLevel="0" max="5" min="5" style="0" width="10.5"/>
    <col collapsed="false" customWidth="true" hidden="false" outlineLevel="0" max="6" min="6" style="0" width="8.74"/>
    <col collapsed="false" customWidth="true" hidden="false" outlineLevel="0" max="7" min="7" style="0" width="7.25"/>
    <col collapsed="false" customWidth="true" hidden="false" outlineLevel="0" max="9" min="8" style="0" width="9.5"/>
    <col collapsed="false" customWidth="true" hidden="false" outlineLevel="0" max="10" min="10" style="0" width="7.39"/>
    <col collapsed="false" customWidth="true" hidden="false" outlineLevel="0" max="11" min="11" style="0" width="8.12"/>
    <col collapsed="false" customWidth="true" hidden="false" outlineLevel="0" max="12" min="12" style="0" width="7.5"/>
    <col collapsed="false" customWidth="true" hidden="false" outlineLevel="0" max="13" min="13" style="0" width="7.39"/>
    <col collapsed="false" customWidth="true" hidden="false" outlineLevel="0" max="14" min="14" style="0" width="6.62"/>
    <col collapsed="false" customWidth="true" hidden="false" outlineLevel="0" max="15" min="15" style="0" width="6.25"/>
    <col collapsed="false" customWidth="true" hidden="false" outlineLevel="0" max="16" min="16" style="0" width="7.75"/>
    <col collapsed="false" customWidth="true" hidden="false" outlineLevel="0" max="17" min="17" style="0" width="6.87"/>
  </cols>
  <sheetData>
    <row r="2" customFormat="false" ht="13.8" hidden="false" customHeight="false" outlineLevel="0" collapsed="false">
      <c r="A2" s="0" t="s">
        <v>0</v>
      </c>
    </row>
    <row r="3" customFormat="false" ht="13.8" hidden="false" customHeight="false" outlineLevel="0" collapsed="false">
      <c r="A3" s="0" t="s">
        <v>1</v>
      </c>
    </row>
    <row r="4" customFormat="false" ht="13.8" hidden="false" customHeight="false" outlineLevel="0" collapsed="false">
      <c r="A4" s="0" t="s">
        <v>2</v>
      </c>
    </row>
    <row r="5" customFormat="false" ht="13.8" hidden="false" customHeight="false" outlineLevel="0" collapsed="false">
      <c r="A5" s="0" t="s">
        <v>3</v>
      </c>
    </row>
    <row r="7" customFormat="false" ht="13.8" hidden="false" customHeight="false" outlineLevel="0" collapsed="false">
      <c r="A7" s="0" t="s">
        <v>4</v>
      </c>
    </row>
    <row r="8" customFormat="false" ht="13.8" hidden="false" customHeight="false" outlineLevel="0" collapsed="false">
      <c r="A8" s="0" t="s">
        <v>5</v>
      </c>
    </row>
    <row r="9" customFormat="false" ht="13.8" hidden="false" customHeight="false" outlineLevel="0" collapsed="false">
      <c r="A9" s="0" t="s">
        <v>6</v>
      </c>
    </row>
    <row r="10" customFormat="false" ht="13.8" hidden="false" customHeight="false" outlineLevel="0" collapsed="false">
      <c r="A10" s="0" t="s">
        <v>7</v>
      </c>
    </row>
    <row r="11" customFormat="false" ht="13.8" hidden="false" customHeight="false" outlineLevel="0" collapsed="false">
      <c r="A11" s="0" t="s">
        <v>8</v>
      </c>
    </row>
    <row r="13" customFormat="false" ht="13.8" hidden="false" customHeight="false" outlineLevel="0" collapsed="false">
      <c r="A13" s="0" t="s">
        <v>9</v>
      </c>
    </row>
    <row r="14" customFormat="false" ht="13.8" hidden="false" customHeight="false" outlineLevel="0" collapsed="false">
      <c r="A14" s="0" t="s">
        <v>10</v>
      </c>
    </row>
    <row r="15" customFormat="false" ht="13.8" hidden="false" customHeight="false" outlineLevel="0" collapsed="false">
      <c r="A15" s="0" t="s">
        <v>11</v>
      </c>
    </row>
    <row r="16" customFormat="false" ht="13.8" hidden="false" customHeight="false" outlineLevel="0" collapsed="false">
      <c r="A16" s="0" t="s">
        <v>12</v>
      </c>
    </row>
    <row r="17" customFormat="false" ht="13.8" hidden="false" customHeight="false" outlineLevel="0" collapsed="false">
      <c r="A17" s="0" t="s">
        <v>13</v>
      </c>
    </row>
    <row r="18" customFormat="false" ht="13.8" hidden="false" customHeight="false" outlineLevel="0" collapsed="false">
      <c r="A18" s="0" t="s">
        <v>14</v>
      </c>
    </row>
    <row r="19" customFormat="false" ht="13.8" hidden="false" customHeight="false" outlineLevel="0" collapsed="false">
      <c r="A19" s="0" t="s">
        <v>15</v>
      </c>
    </row>
    <row r="20" customFormat="false" ht="13.8" hidden="false" customHeight="false" outlineLevel="0" collapsed="false">
      <c r="A20" s="0" t="s">
        <v>16</v>
      </c>
    </row>
    <row r="21" customFormat="false" ht="13.8" hidden="false" customHeight="false" outlineLevel="0" collapsed="false">
      <c r="A21" s="0" t="s">
        <v>17</v>
      </c>
    </row>
    <row r="22" customFormat="false" ht="13.8" hidden="false" customHeight="false" outlineLevel="0" collapsed="false">
      <c r="A22" s="0" t="s">
        <v>18</v>
      </c>
    </row>
    <row r="23" customFormat="false" ht="13.8" hidden="false" customHeight="false" outlineLevel="0" collapsed="false">
      <c r="A23" s="0" t="s">
        <v>19</v>
      </c>
    </row>
    <row r="24" customFormat="false" ht="13.8" hidden="false" customHeight="false" outlineLevel="0" collapsed="false">
      <c r="A24" s="0" t="s">
        <v>20</v>
      </c>
    </row>
    <row r="25" customFormat="false" ht="13.8" hidden="false" customHeight="false" outlineLevel="0" collapsed="false">
      <c r="A25" s="0" t="s">
        <v>21</v>
      </c>
    </row>
    <row r="27" customFormat="false" ht="13.8" hidden="false" customHeight="false" outlineLevel="0" collapsed="false">
      <c r="A27" s="0" t="s">
        <v>22</v>
      </c>
    </row>
    <row r="28" customFormat="false" ht="13.8" hidden="false" customHeight="false" outlineLevel="0" collapsed="false">
      <c r="A28" s="0" t="s">
        <v>15</v>
      </c>
    </row>
    <row r="29" customFormat="false" ht="13.8" hidden="false" customHeight="false" outlineLevel="0" collapsed="false">
      <c r="A29" s="0" t="s">
        <v>23</v>
      </c>
      <c r="E29" s="0" t="s">
        <v>24</v>
      </c>
      <c r="F29" s="0" t="s">
        <v>25</v>
      </c>
      <c r="G29" s="0" t="s">
        <v>26</v>
      </c>
      <c r="H29" s="0" t="s">
        <v>27</v>
      </c>
      <c r="I29" s="0" t="s">
        <v>28</v>
      </c>
      <c r="J29" s="0" t="s">
        <v>29</v>
      </c>
    </row>
    <row r="31" customFormat="false" ht="13.8" hidden="false" customHeight="false" outlineLevel="0" collapsed="false">
      <c r="A31" s="0" t="s">
        <v>30</v>
      </c>
      <c r="F31" s="0" t="s">
        <v>31</v>
      </c>
      <c r="S31" s="0" t="n">
        <v>0</v>
      </c>
    </row>
    <row r="32" customFormat="false" ht="13.8" hidden="false" customHeight="false" outlineLevel="0" collapsed="false">
      <c r="F32" s="0" t="n">
        <v>1</v>
      </c>
      <c r="G32" s="0" t="n">
        <v>2</v>
      </c>
      <c r="H32" s="0" t="n">
        <v>3</v>
      </c>
      <c r="I32" s="0" t="n">
        <v>4</v>
      </c>
      <c r="J32" s="0" t="n">
        <v>5</v>
      </c>
      <c r="K32" s="0" t="n">
        <v>6</v>
      </c>
      <c r="L32" s="0" t="n">
        <v>7</v>
      </c>
      <c r="M32" s="0" t="n">
        <v>8</v>
      </c>
      <c r="N32" s="0" t="n">
        <v>9</v>
      </c>
      <c r="O32" s="0" t="n">
        <v>10</v>
      </c>
      <c r="P32" s="0" t="n">
        <v>11</v>
      </c>
      <c r="Q32" s="0" t="n">
        <v>12</v>
      </c>
      <c r="S32" s="0" t="n">
        <f aca="false">S31^U32</f>
        <v>1</v>
      </c>
      <c r="U32" s="0" t="n">
        <v>0</v>
      </c>
    </row>
    <row r="33" customFormat="false" ht="13.8" hidden="false" customHeight="false" outlineLevel="0" collapsed="false">
      <c r="A33" s="0" t="s">
        <v>32</v>
      </c>
      <c r="F33" s="0" t="n">
        <v>0.459</v>
      </c>
      <c r="G33" s="0" t="n">
        <v>0.482</v>
      </c>
      <c r="H33" s="0" t="n">
        <v>0.373</v>
      </c>
      <c r="I33" s="0" t="n">
        <v>0.416</v>
      </c>
      <c r="J33" s="0" t="n">
        <v>0.438</v>
      </c>
      <c r="K33" s="0" t="n">
        <v>0.314</v>
      </c>
      <c r="L33" s="0" t="n">
        <v>0.491</v>
      </c>
      <c r="M33" s="0" t="n">
        <v>0.525</v>
      </c>
      <c r="N33" s="0" t="n">
        <v>2.43</v>
      </c>
      <c r="O33" s="0" t="n">
        <v>2.611</v>
      </c>
      <c r="P33" s="0" t="n">
        <v>0.139</v>
      </c>
      <c r="Q33" s="0" t="n">
        <v>0.249</v>
      </c>
      <c r="R33" s="0" t="s">
        <v>29</v>
      </c>
      <c r="S33" s="0" t="n">
        <f aca="false">S32^U33</f>
        <v>1</v>
      </c>
      <c r="U33" s="0" t="n">
        <f aca="false">U32+1</f>
        <v>1</v>
      </c>
    </row>
    <row r="34" customFormat="false" ht="13.8" hidden="false" customHeight="false" outlineLevel="0" collapsed="false">
      <c r="A34" s="0" t="s">
        <v>33</v>
      </c>
      <c r="F34" s="0" t="n">
        <v>0.447</v>
      </c>
      <c r="G34" s="0" t="n">
        <v>0.408</v>
      </c>
      <c r="H34" s="0" t="n">
        <v>0.357</v>
      </c>
      <c r="I34" s="0" t="n">
        <v>0.556</v>
      </c>
      <c r="J34" s="0" t="n">
        <v>0.583</v>
      </c>
      <c r="K34" s="0" t="n">
        <v>0.494</v>
      </c>
      <c r="L34" s="0" t="n">
        <v>0.569</v>
      </c>
      <c r="M34" s="0" t="n">
        <v>0.374</v>
      </c>
      <c r="N34" s="0" t="n">
        <v>1.881</v>
      </c>
      <c r="O34" s="0" t="n">
        <v>1.814</v>
      </c>
      <c r="P34" s="0" t="n">
        <v>0.131</v>
      </c>
      <c r="Q34" s="0" t="n">
        <v>0.188</v>
      </c>
      <c r="R34" s="0" t="s">
        <v>29</v>
      </c>
      <c r="S34" s="0" t="n">
        <f aca="false">S33^U34</f>
        <v>1</v>
      </c>
      <c r="U34" s="0" t="n">
        <f aca="false">U33+1</f>
        <v>2</v>
      </c>
    </row>
    <row r="35" customFormat="false" ht="13.8" hidden="false" customHeight="false" outlineLevel="0" collapsed="false">
      <c r="A35" s="0" t="s">
        <v>34</v>
      </c>
      <c r="F35" s="0" t="n">
        <v>0.295</v>
      </c>
      <c r="G35" s="0" t="n">
        <v>0.235</v>
      </c>
      <c r="H35" s="0" t="n">
        <v>0.437</v>
      </c>
      <c r="I35" s="0" t="n">
        <v>0.185</v>
      </c>
      <c r="J35" s="0" t="n">
        <v>0.448</v>
      </c>
      <c r="K35" s="0" t="n">
        <v>0.281</v>
      </c>
      <c r="L35" s="0" t="n">
        <v>0.514</v>
      </c>
      <c r="M35" s="0" t="n">
        <v>0.421</v>
      </c>
      <c r="N35" s="0" t="n">
        <v>0.872</v>
      </c>
      <c r="O35" s="0" t="n">
        <v>0.934</v>
      </c>
      <c r="P35" s="0" t="n">
        <v>0.1</v>
      </c>
      <c r="Q35" s="0" t="n">
        <v>0.091</v>
      </c>
      <c r="R35" s="0" t="s">
        <v>29</v>
      </c>
      <c r="S35" s="0" t="n">
        <f aca="false">S34^U35</f>
        <v>1</v>
      </c>
      <c r="U35" s="0" t="n">
        <f aca="false">U34+1</f>
        <v>3</v>
      </c>
    </row>
    <row r="36" customFormat="false" ht="13.8" hidden="false" customHeight="false" outlineLevel="0" collapsed="false">
      <c r="A36" s="0" t="s">
        <v>35</v>
      </c>
      <c r="F36" s="0" t="n">
        <v>0.231</v>
      </c>
      <c r="G36" s="0" t="n">
        <v>0.226</v>
      </c>
      <c r="H36" s="0" t="n">
        <v>0.197</v>
      </c>
      <c r="I36" s="0" t="n">
        <v>0.182</v>
      </c>
      <c r="J36" s="0" t="n">
        <v>0.429</v>
      </c>
      <c r="K36" s="0" t="n">
        <v>0.163</v>
      </c>
      <c r="L36" s="0" t="n">
        <v>0.474</v>
      </c>
      <c r="M36" s="0" t="n">
        <v>0.445</v>
      </c>
      <c r="N36" s="0" t="n">
        <v>0.731</v>
      </c>
      <c r="O36" s="0" t="n">
        <v>0.593</v>
      </c>
      <c r="P36" s="0" t="n">
        <v>0.111</v>
      </c>
      <c r="Q36" s="0" t="n">
        <v>0.103</v>
      </c>
      <c r="R36" s="0" t="s">
        <v>29</v>
      </c>
      <c r="S36" s="0" t="n">
        <f aca="false">S35^U36</f>
        <v>1</v>
      </c>
      <c r="U36" s="0" t="n">
        <f aca="false">U35+1</f>
        <v>4</v>
      </c>
    </row>
    <row r="37" customFormat="false" ht="13.8" hidden="false" customHeight="false" outlineLevel="0" collapsed="false">
      <c r="A37" s="0" t="s">
        <v>36</v>
      </c>
      <c r="F37" s="0" t="n">
        <v>0.229</v>
      </c>
      <c r="G37" s="0" t="n">
        <v>0.143</v>
      </c>
      <c r="H37" s="0" t="n">
        <v>0.191</v>
      </c>
      <c r="I37" s="0" t="n">
        <v>0.158</v>
      </c>
      <c r="J37" s="0" t="n">
        <v>0.402</v>
      </c>
      <c r="K37" s="0" t="n">
        <v>0.115</v>
      </c>
      <c r="L37" s="0" t="n">
        <v>0.411</v>
      </c>
      <c r="M37" s="0" t="n">
        <v>0.229</v>
      </c>
      <c r="N37" s="0" t="n">
        <v>0.429</v>
      </c>
      <c r="O37" s="0" t="n">
        <v>0.391</v>
      </c>
      <c r="P37" s="0" t="n">
        <v>0.151</v>
      </c>
      <c r="Q37" s="0" t="n">
        <v>0.095</v>
      </c>
      <c r="R37" s="0" t="s">
        <v>29</v>
      </c>
      <c r="S37" s="0" t="n">
        <f aca="false">S36^U37</f>
        <v>1</v>
      </c>
      <c r="U37" s="0" t="n">
        <f aca="false">U36+1</f>
        <v>5</v>
      </c>
    </row>
    <row r="38" customFormat="false" ht="13.8" hidden="false" customHeight="false" outlineLevel="0" collapsed="false">
      <c r="A38" s="0" t="s">
        <v>37</v>
      </c>
      <c r="F38" s="0" t="n">
        <v>0.113</v>
      </c>
      <c r="G38" s="0" t="n">
        <v>0.101</v>
      </c>
      <c r="H38" s="0" t="n">
        <v>0.126</v>
      </c>
      <c r="I38" s="0" t="n">
        <v>0.118</v>
      </c>
      <c r="J38" s="0" t="n">
        <v>0.103</v>
      </c>
      <c r="K38" s="0" t="n">
        <v>0.102</v>
      </c>
      <c r="L38" s="0" t="n">
        <v>0.103</v>
      </c>
      <c r="M38" s="0" t="n">
        <v>0.129</v>
      </c>
      <c r="N38" s="0" t="n">
        <v>0.326</v>
      </c>
      <c r="O38" s="0" t="n">
        <v>0.351</v>
      </c>
      <c r="P38" s="0" t="n">
        <v>0.092</v>
      </c>
      <c r="Q38" s="0" t="n">
        <v>0.082</v>
      </c>
      <c r="R38" s="0" t="s">
        <v>29</v>
      </c>
      <c r="S38" s="0" t="n">
        <f aca="false">S37^U38</f>
        <v>1</v>
      </c>
      <c r="U38" s="0" t="n">
        <f aca="false">U37+1</f>
        <v>6</v>
      </c>
    </row>
    <row r="39" customFormat="false" ht="13.8" hidden="false" customHeight="false" outlineLevel="0" collapsed="false">
      <c r="A39" s="0" t="s">
        <v>38</v>
      </c>
      <c r="F39" s="0" t="n">
        <v>0.126</v>
      </c>
      <c r="G39" s="0" t="n">
        <v>0.097</v>
      </c>
      <c r="H39" s="0" t="n">
        <v>0.114</v>
      </c>
      <c r="I39" s="0" t="n">
        <v>0.113</v>
      </c>
      <c r="J39" s="0" t="n">
        <v>0.133</v>
      </c>
      <c r="K39" s="0" t="n">
        <v>0.087</v>
      </c>
      <c r="L39" s="0" t="n">
        <v>0.121</v>
      </c>
      <c r="M39" s="0" t="n">
        <v>0.115</v>
      </c>
      <c r="N39" s="0" t="n">
        <v>0.316</v>
      </c>
      <c r="O39" s="0" t="n">
        <v>0.259</v>
      </c>
      <c r="P39" s="0" t="n">
        <v>0.084</v>
      </c>
      <c r="Q39" s="0" t="n">
        <v>0.083</v>
      </c>
      <c r="R39" s="0" t="s">
        <v>29</v>
      </c>
      <c r="S39" s="0" t="n">
        <f aca="false">S38^U39</f>
        <v>1</v>
      </c>
      <c r="U39" s="0" t="n">
        <f aca="false">U38+1</f>
        <v>7</v>
      </c>
    </row>
    <row r="40" customFormat="false" ht="13.8" hidden="false" customHeight="false" outlineLevel="0" collapsed="false">
      <c r="A40" s="0" t="s">
        <v>39</v>
      </c>
      <c r="F40" s="0" t="n">
        <v>0.146</v>
      </c>
      <c r="G40" s="0" t="n">
        <v>0.181</v>
      </c>
      <c r="H40" s="0" t="n">
        <v>0.137</v>
      </c>
      <c r="I40" s="0" t="n">
        <v>0.126</v>
      </c>
      <c r="J40" s="0" t="n">
        <v>0.136</v>
      </c>
      <c r="K40" s="0" t="n">
        <v>0.117</v>
      </c>
      <c r="L40" s="0" t="n">
        <v>0.11</v>
      </c>
      <c r="M40" s="0" t="n">
        <v>0.112</v>
      </c>
      <c r="N40" s="0" t="n">
        <v>0.245</v>
      </c>
      <c r="O40" s="0" t="n">
        <v>0.346</v>
      </c>
      <c r="P40" s="0" t="n">
        <v>0.113</v>
      </c>
      <c r="Q40" s="0" t="n">
        <v>0.183</v>
      </c>
      <c r="R40" s="0" t="s">
        <v>29</v>
      </c>
      <c r="S40" s="0" t="n">
        <f aca="false">S39^U40</f>
        <v>1</v>
      </c>
      <c r="U40" s="0" t="n">
        <f aca="false">U39+1</f>
        <v>8</v>
      </c>
    </row>
    <row r="41" customFormat="false" ht="13.8" hidden="false" customHeight="false" outlineLevel="0" collapsed="false">
      <c r="S41" s="0" t="n">
        <f aca="false">S40^U41</f>
        <v>1</v>
      </c>
      <c r="U41" s="0" t="n">
        <f aca="false">U40+1</f>
        <v>9</v>
      </c>
    </row>
    <row r="42" customFormat="false" ht="13.8" hidden="false" customHeight="false" outlineLevel="0" collapsed="false">
      <c r="A42" s="0" t="s">
        <v>40</v>
      </c>
      <c r="S42" s="0" t="n">
        <f aca="false">S41^U42</f>
        <v>1</v>
      </c>
      <c r="U42" s="0" t="n">
        <f aca="false">U41+1</f>
        <v>10</v>
      </c>
    </row>
    <row r="43" customFormat="false" ht="13.8" hidden="false" customHeight="false" outlineLevel="0" collapsed="false">
      <c r="A43" s="0" t="s">
        <v>41</v>
      </c>
      <c r="F43" s="0" t="s">
        <v>42</v>
      </c>
      <c r="Q43" s="0" t="s">
        <v>42</v>
      </c>
      <c r="S43" s="0" t="n">
        <f aca="false">S42^U43</f>
        <v>1</v>
      </c>
      <c r="U43" s="0" t="n">
        <f aca="false">U42+1</f>
        <v>11</v>
      </c>
    </row>
    <row r="44" s="1" customFormat="true" ht="13.8" hidden="false" customHeight="false" outlineLevel="0" collapsed="false">
      <c r="A44" s="0"/>
      <c r="F44" s="1" t="n">
        <v>1</v>
      </c>
      <c r="G44" s="1" t="n">
        <v>2</v>
      </c>
      <c r="H44" s="1" t="n">
        <v>3</v>
      </c>
      <c r="I44" s="1" t="n">
        <v>4</v>
      </c>
      <c r="J44" s="1" t="n">
        <v>5</v>
      </c>
      <c r="K44" s="1" t="n">
        <v>6</v>
      </c>
      <c r="L44" s="1" t="n">
        <v>7</v>
      </c>
      <c r="M44" s="1" t="n">
        <v>8</v>
      </c>
      <c r="N44" s="1" t="n">
        <v>9</v>
      </c>
      <c r="O44" s="1" t="n">
        <v>10</v>
      </c>
      <c r="P44" s="1" t="n">
        <v>11</v>
      </c>
      <c r="Q44" s="1" t="n">
        <v>12</v>
      </c>
      <c r="S44" s="0" t="n">
        <f aca="false">S43^U44</f>
        <v>1</v>
      </c>
      <c r="T44" s="0"/>
      <c r="U44" s="0" t="n">
        <f aca="false">U43+1</f>
        <v>12</v>
      </c>
    </row>
    <row r="45" s="2" customFormat="true" ht="15" hidden="false" customHeight="false" outlineLevel="0" collapsed="false">
      <c r="A45" s="0" t="s">
        <v>43</v>
      </c>
      <c r="B45" s="2" t="s">
        <v>44</v>
      </c>
      <c r="C45" s="2" t="s">
        <v>45</v>
      </c>
      <c r="D45" s="2" t="s">
        <v>46</v>
      </c>
      <c r="E45" s="2" t="s">
        <v>47</v>
      </c>
      <c r="F45" s="3" t="s">
        <v>48</v>
      </c>
      <c r="G45" s="3" t="s">
        <v>48</v>
      </c>
      <c r="H45" s="4" t="s">
        <v>49</v>
      </c>
      <c r="I45" s="3" t="s">
        <v>49</v>
      </c>
      <c r="J45" s="5" t="s">
        <v>50</v>
      </c>
      <c r="K45" s="5" t="s">
        <v>50</v>
      </c>
      <c r="L45" s="5" t="s">
        <v>51</v>
      </c>
      <c r="M45" s="5" t="s">
        <v>51</v>
      </c>
      <c r="N45" s="5" t="s">
        <v>52</v>
      </c>
      <c r="O45" s="5" t="s">
        <v>52</v>
      </c>
      <c r="P45" s="5" t="s">
        <v>53</v>
      </c>
      <c r="Q45" s="3" t="s">
        <v>53</v>
      </c>
    </row>
    <row r="46" customFormat="false" ht="13.8" hidden="false" customHeight="false" outlineLevel="0" collapsed="false">
      <c r="A46" s="0" t="s">
        <v>32</v>
      </c>
      <c r="B46" s="0" t="n">
        <v>1</v>
      </c>
      <c r="C46" s="6" t="n">
        <f aca="false">D46</f>
        <v>100</v>
      </c>
      <c r="D46" s="6" t="n">
        <v>100</v>
      </c>
      <c r="E46" s="7" t="n">
        <f aca="false">1/D46</f>
        <v>0.01</v>
      </c>
      <c r="F46" s="0" t="n">
        <f aca="false">IF(F33-$F$55&gt;0,F33-$F$55,0)</f>
        <v>0.311</v>
      </c>
      <c r="G46" s="0" t="n">
        <f aca="false">IF(G33-$F$55&gt;0,G33-$F$55,0)</f>
        <v>0.334</v>
      </c>
      <c r="H46" s="0" t="n">
        <f aca="false">IF(H33-$F$55&gt;0,H33-$F$55,0)</f>
        <v>0.225</v>
      </c>
      <c r="I46" s="0" t="n">
        <f aca="false">IF(I33-$F$55&gt;0,I33-$F$55,0)</f>
        <v>0.268</v>
      </c>
      <c r="J46" s="0" t="n">
        <f aca="false">IF(J33-$F$55&gt;0,J33-$F$55,0)</f>
        <v>0.29</v>
      </c>
      <c r="K46" s="0" t="n">
        <f aca="false">IF(K33-$F$55&gt;0,K33-$F$55,0)</f>
        <v>0.166</v>
      </c>
      <c r="L46" s="0" t="n">
        <f aca="false">IF(L33-$F$55&gt;0,L33-$F$55,0)</f>
        <v>0.343</v>
      </c>
      <c r="M46" s="0" t="n">
        <f aca="false">IF(M33-$F$55&gt;0,M33-$F$55,0)</f>
        <v>0.377</v>
      </c>
      <c r="N46" s="0" t="n">
        <f aca="false">N33-$F$55</f>
        <v>2.282</v>
      </c>
      <c r="O46" s="0" t="n">
        <f aca="false">O33-$F$55</f>
        <v>2.463</v>
      </c>
      <c r="P46" s="0" t="n">
        <f aca="false">IF(P33-$F$55&gt;0,P33-$F$55,0)</f>
        <v>0</v>
      </c>
      <c r="Q46" s="0" t="n">
        <f aca="false">IF(Q33-$F$55&gt;0,Q33-$F$55,0)</f>
        <v>0.101</v>
      </c>
    </row>
    <row r="47" customFormat="false" ht="13.8" hidden="false" customHeight="false" outlineLevel="0" collapsed="false">
      <c r="A47" s="0" t="s">
        <v>33</v>
      </c>
      <c r="B47" s="0" t="n">
        <f aca="false">35/(105+35)</f>
        <v>0.25</v>
      </c>
      <c r="C47" s="6" t="n">
        <f aca="false">D47</f>
        <v>400</v>
      </c>
      <c r="D47" s="6" t="n">
        <f aca="false">(1/B47)*D46</f>
        <v>400</v>
      </c>
      <c r="E47" s="7" t="n">
        <f aca="false">1/D47</f>
        <v>0.0025</v>
      </c>
      <c r="F47" s="0" t="n">
        <f aca="false">IF(F34-$F$55&gt;0,F34-$F$55,0)</f>
        <v>0.299</v>
      </c>
      <c r="G47" s="0" t="n">
        <f aca="false">IF(G34-$F$55&gt;0,G34-$F$55,0)</f>
        <v>0.26</v>
      </c>
      <c r="H47" s="0" t="n">
        <f aca="false">IF(H34-$F$55&gt;0,H34-$F$55,0)</f>
        <v>0.209</v>
      </c>
      <c r="I47" s="0" t="n">
        <f aca="false">IF(I34-$F$55&gt;0,I34-$F$55,0)</f>
        <v>0.408</v>
      </c>
      <c r="J47" s="0" t="n">
        <f aca="false">IF(J34-$F$55&gt;0,J34-$F$55,0)</f>
        <v>0.435</v>
      </c>
      <c r="K47" s="0" t="n">
        <f aca="false">IF(K34-$F$55&gt;0,K34-$F$55,0)</f>
        <v>0.346</v>
      </c>
      <c r="L47" s="0" t="n">
        <f aca="false">IF(L34-$F$55&gt;0,L34-$F$55,0)</f>
        <v>0.421</v>
      </c>
      <c r="M47" s="0" t="n">
        <f aca="false">IF(M34-$F$55&gt;0,M34-$F$55,0)</f>
        <v>0.226</v>
      </c>
      <c r="N47" s="0" t="n">
        <f aca="false">N34-$F$55</f>
        <v>1.733</v>
      </c>
      <c r="O47" s="0" t="n">
        <f aca="false">O34-$F$55</f>
        <v>1.666</v>
      </c>
      <c r="P47" s="0" t="n">
        <f aca="false">IF(P34-$F$55&gt;0,P34-$F$55,0)</f>
        <v>0</v>
      </c>
      <c r="Q47" s="0" t="n">
        <f aca="false">IF(Q34-$F$55&gt;0,Q34-$F$55,0)</f>
        <v>0.04</v>
      </c>
    </row>
    <row r="48" customFormat="false" ht="13.8" hidden="false" customHeight="false" outlineLevel="0" collapsed="false">
      <c r="A48" s="0" t="s">
        <v>34</v>
      </c>
      <c r="B48" s="0" t="n">
        <f aca="false">35/(105+35)</f>
        <v>0.25</v>
      </c>
      <c r="C48" s="6" t="n">
        <f aca="false">D48</f>
        <v>1600</v>
      </c>
      <c r="D48" s="6" t="n">
        <f aca="false">(1/B48)*D47</f>
        <v>1600</v>
      </c>
      <c r="E48" s="7" t="n">
        <f aca="false">1/D48</f>
        <v>0.000625</v>
      </c>
      <c r="F48" s="0" t="n">
        <f aca="false">IF(F35-$F$55&gt;0,F35-$F$55,0)</f>
        <v>0.147</v>
      </c>
      <c r="G48" s="0" t="n">
        <f aca="false">IF(G35-$F$55&gt;0,G35-$F$55,0)</f>
        <v>0.087</v>
      </c>
      <c r="H48" s="0" t="n">
        <f aca="false">IF(H35-$F$55&gt;0,H35-$F$55,0)</f>
        <v>0.289</v>
      </c>
      <c r="I48" s="0" t="n">
        <f aca="false">IF(I35-$F$55&gt;0,I35-$F$55,0)</f>
        <v>0.037</v>
      </c>
      <c r="J48" s="0" t="n">
        <f aca="false">IF(J35-$F$55&gt;0,J35-$F$55,0)</f>
        <v>0.3</v>
      </c>
      <c r="K48" s="0" t="n">
        <f aca="false">IF(K35-$F$55&gt;0,K35-$F$55,0)</f>
        <v>0.133</v>
      </c>
      <c r="L48" s="0" t="n">
        <f aca="false">IF(L35-$F$55&gt;0,L35-$F$55,0)</f>
        <v>0.366</v>
      </c>
      <c r="M48" s="0" t="n">
        <f aca="false">IF(M35-$F$55&gt;0,M35-$F$55,0)</f>
        <v>0.273</v>
      </c>
      <c r="N48" s="0" t="n">
        <f aca="false">N35-$F$55</f>
        <v>0.724</v>
      </c>
      <c r="O48" s="0" t="n">
        <f aca="false">O35-$F$55</f>
        <v>0.786</v>
      </c>
      <c r="P48" s="0" t="n">
        <f aca="false">IF(P35-$F$55&gt;0,P35-$F$55,0)</f>
        <v>0</v>
      </c>
      <c r="Q48" s="0" t="n">
        <f aca="false">IF(Q35-$F$55&gt;0,Q35-$F$55,0)</f>
        <v>0</v>
      </c>
    </row>
    <row r="49" customFormat="false" ht="13.8" hidden="false" customHeight="false" outlineLevel="0" collapsed="false">
      <c r="A49" s="0" t="s">
        <v>35</v>
      </c>
      <c r="B49" s="0" t="n">
        <f aca="false">35/(105+35)</f>
        <v>0.25</v>
      </c>
      <c r="C49" s="6" t="n">
        <f aca="false">D49</f>
        <v>6400</v>
      </c>
      <c r="D49" s="6" t="n">
        <f aca="false">(1/B49)*D48</f>
        <v>6400</v>
      </c>
      <c r="E49" s="7" t="n">
        <f aca="false">1/D49</f>
        <v>0.00015625</v>
      </c>
      <c r="F49" s="0" t="n">
        <f aca="false">IF(F36-$F$55&gt;0,F36-$F$55,0)</f>
        <v>0.083</v>
      </c>
      <c r="G49" s="0" t="n">
        <f aca="false">IF(G36-$F$55&gt;0,G36-$F$55,0)</f>
        <v>0.078</v>
      </c>
      <c r="H49" s="0" t="n">
        <f aca="false">IF(H36-$F$55&gt;0,H36-$F$55,0)</f>
        <v>0.049</v>
      </c>
      <c r="I49" s="0" t="n">
        <f aca="false">IF(I36-$F$55&gt;0,I36-$F$55,0)</f>
        <v>0.034</v>
      </c>
      <c r="J49" s="0" t="n">
        <f aca="false">IF(J36-$F$55&gt;0,J36-$F$55,0)</f>
        <v>0.281</v>
      </c>
      <c r="K49" s="0" t="n">
        <f aca="false">IF(K36-$F$55&gt;0,K36-$F$55,0)</f>
        <v>0.015</v>
      </c>
      <c r="L49" s="0" t="n">
        <f aca="false">IF(L36-$F$55&gt;0,L36-$F$55,0)</f>
        <v>0.326</v>
      </c>
      <c r="M49" s="0" t="n">
        <f aca="false">IF(M36-$F$55&gt;0,M36-$F$55,0)</f>
        <v>0.297</v>
      </c>
      <c r="N49" s="0" t="n">
        <f aca="false">IF(N36-$F$55&gt;0,N36-$F$55,0)</f>
        <v>0.583</v>
      </c>
      <c r="O49" s="0" t="n">
        <f aca="false">IF(O36-$F$55&gt;0,O36-$F$55,0)</f>
        <v>0.445</v>
      </c>
      <c r="P49" s="0" t="n">
        <f aca="false">IF(P36-$F$55&gt;0,P36-$F$55,0)</f>
        <v>0</v>
      </c>
      <c r="Q49" s="0" t="n">
        <f aca="false">IF(Q36-$F$55&gt;0,Q36-$F$55,0)</f>
        <v>0</v>
      </c>
    </row>
    <row r="50" customFormat="false" ht="13.8" hidden="false" customHeight="false" outlineLevel="0" collapsed="false">
      <c r="A50" s="0" t="s">
        <v>36</v>
      </c>
      <c r="B50" s="0" t="n">
        <f aca="false">35/(105+35)</f>
        <v>0.25</v>
      </c>
      <c r="C50" s="6" t="n">
        <f aca="false">D50</f>
        <v>25600</v>
      </c>
      <c r="D50" s="6" t="n">
        <f aca="false">(1/B50)*D49</f>
        <v>25600</v>
      </c>
      <c r="E50" s="7" t="n">
        <f aca="false">1/D50</f>
        <v>3.90625E-005</v>
      </c>
      <c r="F50" s="0" t="n">
        <f aca="false">IF(F37-$F$55&gt;0,F37-$F$55,0)</f>
        <v>0.081</v>
      </c>
      <c r="G50" s="0" t="n">
        <f aca="false">IF(G37-$F$55&gt;0,G37-$F$55,0)</f>
        <v>0</v>
      </c>
      <c r="H50" s="0" t="n">
        <f aca="false">IF(H37-$F$55&gt;0,H37-$F$55,0)</f>
        <v>0.043</v>
      </c>
      <c r="I50" s="0" t="n">
        <f aca="false">IF(I37-$F$55&gt;0,I37-$F$55,0)</f>
        <v>0.01</v>
      </c>
      <c r="J50" s="0" t="n">
        <f aca="false">IF(J37-$F$55&gt;0,J37-$F$55,0)</f>
        <v>0.254</v>
      </c>
      <c r="K50" s="0" t="n">
        <f aca="false">IF(K37-$F$55&gt;0,K37-$F$55,0)</f>
        <v>0</v>
      </c>
      <c r="L50" s="0" t="n">
        <f aca="false">IF(L37-$F$55&gt;0,L37-$F$55,0)</f>
        <v>0.263</v>
      </c>
      <c r="M50" s="0" t="n">
        <f aca="false">IF(M37-$F$55&gt;0,M37-$F$55,0)</f>
        <v>0.081</v>
      </c>
      <c r="N50" s="0" t="n">
        <f aca="false">IF(N37-$F$55&gt;0,N37-$F$55,0)</f>
        <v>0.281</v>
      </c>
      <c r="O50" s="0" t="n">
        <f aca="false">IF(O37-$F$55&gt;0,O37-$F$55,0)</f>
        <v>0.243</v>
      </c>
      <c r="P50" s="0" t="n">
        <f aca="false">IF(P37-$F$55&gt;0,P37-$F$55,0)</f>
        <v>0.003</v>
      </c>
      <c r="Q50" s="0" t="n">
        <f aca="false">IF(Q37-$F$55&gt;0,Q37-$F$55,0)</f>
        <v>0</v>
      </c>
    </row>
    <row r="51" customFormat="false" ht="13.8" hidden="false" customHeight="false" outlineLevel="0" collapsed="false">
      <c r="A51" s="0" t="s">
        <v>37</v>
      </c>
      <c r="B51" s="0" t="n">
        <f aca="false">35/(105+35)</f>
        <v>0.25</v>
      </c>
      <c r="C51" s="6" t="n">
        <f aca="false">D51</f>
        <v>102400</v>
      </c>
      <c r="D51" s="6" t="n">
        <f aca="false">(1/B51)*D50</f>
        <v>102400</v>
      </c>
      <c r="E51" s="7" t="n">
        <f aca="false">1/D51</f>
        <v>9.765625E-006</v>
      </c>
      <c r="F51" s="0" t="n">
        <f aca="false">IF(F38-$F$55&gt;0,F38-$F$55,0)</f>
        <v>0</v>
      </c>
      <c r="G51" s="0" t="n">
        <f aca="false">IF(G38-$F$55&gt;0,G38-$F$55,0)</f>
        <v>0</v>
      </c>
      <c r="H51" s="0" t="n">
        <f aca="false">IF(H38-$F$55&gt;0,H38-$F$55,0)</f>
        <v>0</v>
      </c>
      <c r="I51" s="0" t="n">
        <f aca="false">IF(I38-$F$55&gt;0,I38-$F$55,0)</f>
        <v>0</v>
      </c>
      <c r="J51" s="0" t="n">
        <f aca="false">IF(J38-$F$55&gt;0,J38-$F$55,0)</f>
        <v>0</v>
      </c>
      <c r="K51" s="0" t="n">
        <f aca="false">IF(K38-$F$55&gt;0,K38-$F$55,0)</f>
        <v>0</v>
      </c>
      <c r="L51" s="0" t="n">
        <f aca="false">IF(L38-$F$55&gt;0,L38-$F$55,0)</f>
        <v>0</v>
      </c>
      <c r="M51" s="0" t="n">
        <f aca="false">IF(M38-$F$55&gt;0,M38-$F$55,0)</f>
        <v>0</v>
      </c>
      <c r="N51" s="0" t="n">
        <f aca="false">IF(N38-$F$55&gt;0,N38-$F$55,0)</f>
        <v>0.178</v>
      </c>
      <c r="O51" s="0" t="n">
        <f aca="false">IF(O38-$F$55&gt;0,O38-$F$55,0)</f>
        <v>0.203</v>
      </c>
      <c r="P51" s="0" t="n">
        <f aca="false">IF(P38-$F$55&gt;0,P38-$F$55,0)</f>
        <v>0</v>
      </c>
      <c r="Q51" s="0" t="n">
        <f aca="false">IF(Q38-$F$55&gt;0,Q38-$F$55,0)</f>
        <v>0</v>
      </c>
    </row>
    <row r="52" customFormat="false" ht="13.8" hidden="false" customHeight="false" outlineLevel="0" collapsed="false">
      <c r="A52" s="0" t="s">
        <v>38</v>
      </c>
      <c r="B52" s="0" t="n">
        <f aca="false">35/(105+35)</f>
        <v>0.25</v>
      </c>
      <c r="C52" s="6" t="n">
        <f aca="false">D52</f>
        <v>409600</v>
      </c>
      <c r="D52" s="6" t="n">
        <f aca="false">(1/B52)*D51</f>
        <v>409600</v>
      </c>
      <c r="E52" s="7" t="n">
        <f aca="false">1/D52</f>
        <v>2.44140625E-006</v>
      </c>
      <c r="F52" s="0" t="n">
        <f aca="false">IF(F39-$F$55&gt;0,F39-$F$55,0)</f>
        <v>0</v>
      </c>
      <c r="G52" s="0" t="n">
        <f aca="false">IF(G39-$F$55&gt;0,G39-$F$55,0)</f>
        <v>0</v>
      </c>
      <c r="H52" s="0" t="n">
        <f aca="false">IF(H39-$F$55&gt;0,H39-$F$55,0)</f>
        <v>0</v>
      </c>
      <c r="I52" s="0" t="n">
        <f aca="false">IF(I39-$F$55&gt;0,I39-$F$55,0)</f>
        <v>0</v>
      </c>
      <c r="J52" s="0" t="n">
        <f aca="false">IF(J39-$F$55&gt;0,J39-$F$55,0)</f>
        <v>0</v>
      </c>
      <c r="K52" s="0" t="n">
        <f aca="false">IF(K39-$F$55&gt;0,K39-$F$55,0)</f>
        <v>0</v>
      </c>
      <c r="L52" s="0" t="n">
        <f aca="false">IF(L39-$F$55&gt;0,L39-$F$55,0)</f>
        <v>0</v>
      </c>
      <c r="M52" s="0" t="n">
        <f aca="false">IF(M39-$F$55&gt;0,M39-$F$55,0)</f>
        <v>0</v>
      </c>
      <c r="N52" s="0" t="n">
        <f aca="false">IF(N39-$F$55&gt;0,N39-$F$55,0)</f>
        <v>0.168</v>
      </c>
      <c r="O52" s="0" t="n">
        <f aca="false">IF(O39-$F$55&gt;0,O39-$F$55,0)</f>
        <v>0.111</v>
      </c>
      <c r="P52" s="0" t="n">
        <f aca="false">IF(P39-$F$55&gt;0,P39-$F$55,0)</f>
        <v>0</v>
      </c>
      <c r="Q52" s="0" t="n">
        <f aca="false">IF(Q39-$F$55&gt;0,Q39-$F$55,0)</f>
        <v>0</v>
      </c>
    </row>
    <row r="53" customFormat="false" ht="13.8" hidden="false" customHeight="false" outlineLevel="0" collapsed="false">
      <c r="A53" s="0" t="s">
        <v>39</v>
      </c>
      <c r="B53" s="0" t="n">
        <f aca="false">35/(105+35)</f>
        <v>0.25</v>
      </c>
      <c r="C53" s="6" t="n">
        <f aca="false">D53</f>
        <v>1638400</v>
      </c>
      <c r="D53" s="6" t="n">
        <f aca="false">(1/B53)*D52</f>
        <v>1638400</v>
      </c>
      <c r="E53" s="7" t="n">
        <f aca="false">1/D53</f>
        <v>6.103515625E-007</v>
      </c>
      <c r="F53" s="0" t="n">
        <f aca="false">IF(F40-$F$55&gt;0,F40-$F$55,0)</f>
        <v>0</v>
      </c>
      <c r="G53" s="0" t="n">
        <f aca="false">IF(G40-$F$55&gt;0,G40-$F$55,0)</f>
        <v>0.033</v>
      </c>
      <c r="H53" s="0" t="n">
        <f aca="false">IF(H40-$F$55&gt;0,H40-$F$55,0)</f>
        <v>0</v>
      </c>
      <c r="I53" s="0" t="n">
        <f aca="false">IF(I40-$F$55&gt;0,I40-$F$55,0)</f>
        <v>0</v>
      </c>
      <c r="J53" s="0" t="n">
        <f aca="false">IF(J40-$F$55&gt;0,J40-$F$55,0)</f>
        <v>0</v>
      </c>
      <c r="K53" s="0" t="n">
        <f aca="false">IF(K40-$F$55&gt;0,K40-$F$55,0)</f>
        <v>0</v>
      </c>
      <c r="L53" s="0" t="n">
        <f aca="false">IF(L40-$F$55&gt;0,L40-$F$55,0)</f>
        <v>0</v>
      </c>
      <c r="M53" s="0" t="n">
        <f aca="false">IF(M40-$F$55&gt;0,M40-$F$55,0)</f>
        <v>0</v>
      </c>
      <c r="N53" s="0" t="n">
        <f aca="false">IF(N40-$F$55&gt;0,N40-$F$55,0)</f>
        <v>0.097</v>
      </c>
      <c r="O53" s="0" t="n">
        <f aca="false">IF(O40-$F$55&gt;0,O40-$F$55,0)</f>
        <v>0.198</v>
      </c>
      <c r="P53" s="8"/>
      <c r="Q53" s="9"/>
    </row>
    <row r="54" customFormat="false" ht="13.8" hidden="false" customHeight="false" outlineLevel="0" collapsed="false">
      <c r="C54" s="0" t="n">
        <f aca="false">D48*4</f>
        <v>6400</v>
      </c>
      <c r="D54" s="0" t="n">
        <f aca="false">(1/B50*0.7)*D49</f>
        <v>17920</v>
      </c>
    </row>
    <row r="55" customFormat="false" ht="13.8" hidden="false" customHeight="false" outlineLevel="0" collapsed="false">
      <c r="C55" s="0" t="n">
        <f aca="false">(1/B48*0.7)*D47</f>
        <v>1120</v>
      </c>
      <c r="D55" s="10" t="n">
        <f aca="false">(1/B52*1.1)*D51</f>
        <v>450560</v>
      </c>
      <c r="E55" s="10"/>
      <c r="F55" s="11" t="n">
        <f aca="false">AVERAGE(P40:Q40)</f>
        <v>0.148</v>
      </c>
      <c r="G55" s="12" t="s">
        <v>54</v>
      </c>
      <c r="H55" s="13"/>
      <c r="I55" s="13"/>
      <c r="J55" s="13"/>
      <c r="K55" s="13"/>
      <c r="L55" s="13"/>
      <c r="M55" s="14"/>
      <c r="N55" s="15"/>
      <c r="O55" s="10"/>
      <c r="P55" s="10"/>
      <c r="Q55" s="13"/>
      <c r="R55" s="13"/>
    </row>
    <row r="56" customFormat="false" ht="13.8" hidden="false" customHeight="false" outlineLevel="0" collapsed="false">
      <c r="C56" s="0" t="n">
        <f aca="false">(1/B46*1.5)*D46</f>
        <v>150</v>
      </c>
      <c r="D56" s="0" t="n">
        <f aca="false">(1/B48*2.5)*D47</f>
        <v>4000</v>
      </c>
    </row>
    <row r="57" s="16" customFormat="true" ht="23.85" hidden="false" customHeight="false" outlineLevel="0" collapsed="false">
      <c r="A57" s="0"/>
      <c r="B57" s="0"/>
      <c r="C57" s="0"/>
      <c r="F57" s="17" t="s">
        <v>55</v>
      </c>
      <c r="G57" s="18" t="s">
        <v>56</v>
      </c>
      <c r="H57" s="17" t="s">
        <v>57</v>
      </c>
      <c r="I57" s="18" t="s">
        <v>58</v>
      </c>
      <c r="J57" s="17" t="s">
        <v>59</v>
      </c>
      <c r="K57" s="18" t="s">
        <v>60</v>
      </c>
      <c r="L57" s="17" t="s">
        <v>61</v>
      </c>
      <c r="M57" s="18" t="s">
        <v>62</v>
      </c>
      <c r="N57" s="17" t="s">
        <v>63</v>
      </c>
      <c r="O57" s="18" t="s">
        <v>64</v>
      </c>
      <c r="P57" s="17" t="s">
        <v>65</v>
      </c>
      <c r="Q57" s="18" t="s">
        <v>66</v>
      </c>
    </row>
    <row r="58" customFormat="false" ht="13.8" hidden="false" customHeight="false" outlineLevel="0" collapsed="false">
      <c r="F58" s="19" t="n">
        <f aca="false">AVERAGE(F46:G46)</f>
        <v>0.3225</v>
      </c>
      <c r="G58" s="20" t="n">
        <f aca="false">((F$70-F$73)/(1+($E46/F$72)^F$71))+F$73</f>
        <v>0.304811320754717</v>
      </c>
      <c r="H58" s="19" t="n">
        <f aca="false">AVERAGE(H46:I46)</f>
        <v>0.2465</v>
      </c>
      <c r="I58" s="20" t="n">
        <f aca="false">((H$70-H$73)/(1+($E46/H$72)^H$71))+H$73</f>
        <v>0.289002681917831</v>
      </c>
      <c r="J58" s="19" t="n">
        <f aca="false">AVERAGE(J46:K46)</f>
        <v>0.228</v>
      </c>
      <c r="K58" s="20" t="n">
        <f aca="false">((J$70-J$73)/(1+($E46/J$72)^J$71))+J$73</f>
        <v>0.298507462686567</v>
      </c>
      <c r="L58" s="19" t="n">
        <f aca="false">AVERAGE(L46:M46)</f>
        <v>0.36</v>
      </c>
      <c r="M58" s="20" t="n">
        <f aca="false">((L$70-L$73)/(1+($E46/L$72)^L$71))+L$73</f>
        <v>0.35894344276388</v>
      </c>
      <c r="N58" s="19" t="n">
        <f aca="false">AVERAGE(N46:O46)</f>
        <v>2.3725</v>
      </c>
      <c r="O58" s="20" t="n">
        <f aca="false">((N$70-N$73)/(1+($E46/N$72)^N$71))+N$73</f>
        <v>2.1695</v>
      </c>
      <c r="P58" s="19" t="n">
        <f aca="false">AVERAGE(P46:Q46)</f>
        <v>0.0505</v>
      </c>
      <c r="Q58" s="20" t="n">
        <f aca="false">((P$70-P$73)/(1+($E46/P$72)^P$71))+P$73</f>
        <v>0.0463302752293578</v>
      </c>
    </row>
    <row r="59" customFormat="false" ht="13.8" hidden="false" customHeight="false" outlineLevel="0" collapsed="false">
      <c r="F59" s="19" t="n">
        <f aca="false">AVERAGE(F47:G47)</f>
        <v>0.2795</v>
      </c>
      <c r="G59" s="20" t="n">
        <f aca="false">((F$70-F$73)/(1+($E47/F$72)^F$71))+F$73</f>
        <v>0.262016129032258</v>
      </c>
      <c r="H59" s="19" t="n">
        <f aca="false">AVERAGE(H47:I47)</f>
        <v>0.3085</v>
      </c>
      <c r="I59" s="20" t="n">
        <f aca="false">((H$70-H$73)/(1+($E47/H$72)^H$71))+H$73</f>
        <v>0.249812986715027</v>
      </c>
      <c r="J59" s="19" t="n">
        <f aca="false">AVERAGE(J47:K47)</f>
        <v>0.3905</v>
      </c>
      <c r="K59" s="20" t="n">
        <f aca="false">((J$70-J$73)/(1+($E47/J$72)^J$71))+J$73</f>
        <v>0.294117647058823</v>
      </c>
      <c r="L59" s="19" t="n">
        <f aca="false">AVERAGE(L47:M47)</f>
        <v>0.3235</v>
      </c>
      <c r="M59" s="20" t="n">
        <f aca="false">((L$70-L$73)/(1+($E47/L$72)^L$71))+L$73</f>
        <v>0.355196021141752</v>
      </c>
      <c r="N59" s="19" t="n">
        <f aca="false">AVERAGE(N47:O47)</f>
        <v>1.6995</v>
      </c>
      <c r="O59" s="20" t="n">
        <f aca="false">((N$70-N$73)/(1+($E47/N$72)^N$71))+N$73</f>
        <v>1.7345</v>
      </c>
      <c r="P59" s="19" t="n">
        <f aca="false">AVERAGE(P47:Q47)</f>
        <v>0.02</v>
      </c>
      <c r="Q59" s="20" t="n">
        <f aca="false">((P$70-P$73)/(1+($E47/P$72)^P$71))+P$73</f>
        <v>0.0206967213114754</v>
      </c>
    </row>
    <row r="60" customFormat="false" ht="13.8" hidden="false" customHeight="false" outlineLevel="0" collapsed="false">
      <c r="F60" s="19" t="n">
        <f aca="false">AVERAGE(F48:G48)</f>
        <v>0.117</v>
      </c>
      <c r="G60" s="20" t="n">
        <f aca="false">((F$70-F$73)/(1+($E48/F$72)^F$71))+F$73</f>
        <v>0.169438775510204</v>
      </c>
      <c r="H60" s="19" t="n">
        <f aca="false">AVERAGE(H48:I48)</f>
        <v>0.163</v>
      </c>
      <c r="I60" s="20" t="n">
        <f aca="false">((H$70-H$73)/(1+($E48/H$72)^H$71))+H$73</f>
        <v>0.169687102028464</v>
      </c>
      <c r="J60" s="19" t="n">
        <f aca="false">AVERAGE(J48:K48)</f>
        <v>0.2165</v>
      </c>
      <c r="K60" s="20" t="n">
        <f aca="false">((J$70-J$73)/(1+($E48/J$72)^J$71))+J$73</f>
        <v>0.277777777777778</v>
      </c>
      <c r="L60" s="19" t="n">
        <f aca="false">AVERAGE(L48:M48)</f>
        <v>0.3195</v>
      </c>
      <c r="M60" s="20" t="n">
        <f aca="false">((L$70-L$73)/(1+($E48/L$72)^L$71))+L$73</f>
        <v>0.338937103238869</v>
      </c>
      <c r="N60" s="19" t="n">
        <f aca="false">AVERAGE(N48:O48)</f>
        <v>0.755</v>
      </c>
      <c r="O60" s="20" t="n">
        <f aca="false">((N$70-N$73)/(1+($E48/N$72)^N$71))+N$73</f>
        <v>0.998346153846154</v>
      </c>
      <c r="P60" s="19" t="n">
        <f aca="false">AVERAGE(P48:Q48)</f>
        <v>0</v>
      </c>
      <c r="Q60" s="20" t="n">
        <f aca="false">((P$70-P$73)/(1+($E48/P$72)^P$71))+P$73</f>
        <v>0.00210066555740433</v>
      </c>
    </row>
    <row r="61" customFormat="false" ht="13.8" hidden="false" customHeight="false" outlineLevel="0" collapsed="false">
      <c r="F61" s="19" t="n">
        <f aca="false">AVERAGE(F49:G49)</f>
        <v>0.0805</v>
      </c>
      <c r="G61" s="20" t="n">
        <f aca="false">((F$70-F$73)/(1+($E49/F$72)^F$71))+F$73</f>
        <v>0.0745661157024793</v>
      </c>
      <c r="H61" s="19" t="n">
        <f aca="false">AVERAGE(H49:I49)</f>
        <v>0.0415</v>
      </c>
      <c r="I61" s="20" t="n">
        <f aca="false">((H$70-H$73)/(1+($E49/H$72)^H$71))+H$73</f>
        <v>0.0801585392749015</v>
      </c>
      <c r="J61" s="19" t="n">
        <f aca="false">AVERAGE(J49:K49)</f>
        <v>0.148</v>
      </c>
      <c r="K61" s="20" t="n">
        <f aca="false">((J$70-J$73)/(1+($E49/J$72)^J$71))+J$73</f>
        <v>0.227272727272727</v>
      </c>
      <c r="L61" s="19" t="n">
        <f aca="false">AVERAGE(L49:M49)</f>
        <v>0.3115</v>
      </c>
      <c r="M61" s="20" t="n">
        <f aca="false">((L$70-L$73)/(1+($E49/L$72)^L$71))+L$73</f>
        <v>0.280038244144443</v>
      </c>
      <c r="N61" s="19" t="n">
        <f aca="false">AVERAGE(N49:O49)</f>
        <v>0.514</v>
      </c>
      <c r="O61" s="20" t="n">
        <f aca="false">((N$70-N$73)/(1+($E49/N$72)^N$71))+N$73</f>
        <v>0.441256756756757</v>
      </c>
      <c r="P61" s="19" t="n">
        <f aca="false">AVERAGE(P49:Q49)</f>
        <v>0</v>
      </c>
      <c r="Q61" s="20" t="n">
        <f aca="false">((P$70-P$73)/(1+($E49/P$72)^P$71))+P$73</f>
        <v>0.000136619413483389</v>
      </c>
    </row>
    <row r="62" customFormat="false" ht="13.8" hidden="false" customHeight="false" outlineLevel="0" collapsed="false">
      <c r="F62" s="19" t="n">
        <f aca="false">AVERAGE(F50:G50)</f>
        <v>0.0405</v>
      </c>
      <c r="G62" s="20" t="n">
        <f aca="false">((F$70-F$73)/(1+($E50/F$72)^F$71))+F$73</f>
        <v>0.029101466992665</v>
      </c>
      <c r="H62" s="19" t="n">
        <f aca="false">AVERAGE(H50:I50)</f>
        <v>0.0265</v>
      </c>
      <c r="I62" s="20" t="n">
        <f aca="false">((H$70-H$73)/(1+($E50/H$72)^H$71))+H$73</f>
        <v>0.028252257163146</v>
      </c>
      <c r="J62" s="19" t="n">
        <f aca="false">AVERAGE(J50:K50)</f>
        <v>0.127</v>
      </c>
      <c r="K62" s="20" t="n">
        <f aca="false">((J$70-J$73)/(1+($E50/J$72)^J$71))+J$73</f>
        <v>0.131578947368421</v>
      </c>
      <c r="L62" s="19" t="n">
        <f aca="false">AVERAGE(L50:M50)</f>
        <v>0.172</v>
      </c>
      <c r="M62" s="20" t="n">
        <f aca="false">((L$70-L$73)/(1+($E50/L$72)^L$71))+L$73</f>
        <v>0.155709926167373</v>
      </c>
      <c r="N62" s="19" t="n">
        <f aca="false">AVERAGE(N50:O50)</f>
        <v>0.262</v>
      </c>
      <c r="O62" s="20" t="n">
        <f aca="false">((N$70-N$73)/(1+($E50/N$72)^N$71))+N$73</f>
        <v>0.223447368421053</v>
      </c>
      <c r="P62" s="19" t="n">
        <f aca="false">AVERAGE(P50:Q50)</f>
        <v>0.0015</v>
      </c>
      <c r="Q62" s="20" t="n">
        <f aca="false">((P$70-P$73)/(1+($E50/P$72)^P$71))+P$73</f>
        <v>8.56042473267743E-006</v>
      </c>
    </row>
    <row r="63" customFormat="false" ht="13.8" hidden="false" customHeight="false" outlineLevel="0" collapsed="false">
      <c r="F63" s="19" t="n">
        <f aca="false">AVERAGE(F51:G51)</f>
        <v>0</v>
      </c>
      <c r="G63" s="20" t="n">
        <f aca="false">((F$70-F$73)/(1+($E51/F$72)^F$71))+F$73</f>
        <v>0.0150048046124279</v>
      </c>
      <c r="H63" s="19" t="n">
        <f aca="false">AVERAGE(H51:I51)</f>
        <v>0</v>
      </c>
      <c r="I63" s="20" t="n">
        <f aca="false">((H$70-H$73)/(1+($E51/H$72)^H$71))+H$73</f>
        <v>0.00867995939929022</v>
      </c>
      <c r="J63" s="19" t="n">
        <f aca="false">AVERAGE(J51:K51)</f>
        <v>0</v>
      </c>
      <c r="K63" s="20" t="n">
        <f aca="false">((J$70-J$73)/(1+($E51/J$72)^J$71))+J$73</f>
        <v>0.0490196078431373</v>
      </c>
      <c r="L63" s="19" t="n">
        <f aca="false">AVERAGE(L51:M51)</f>
        <v>0</v>
      </c>
      <c r="M63" s="20" t="n">
        <f aca="false">((L$70-L$73)/(1+($E51/L$72)^L$71))+L$73</f>
        <v>0.0512212778123389</v>
      </c>
      <c r="N63" s="19" t="n">
        <f aca="false">AVERAGE(N51:O51)</f>
        <v>0.1905</v>
      </c>
      <c r="O63" s="20" t="n">
        <f aca="false">((N$70-N$73)/(1+($E51/N$72)^N$71))+N$73</f>
        <v>0.161095744680851</v>
      </c>
      <c r="P63" s="19" t="n">
        <f aca="false">AVERAGE(P51:Q51)</f>
        <v>0</v>
      </c>
      <c r="Q63" s="20" t="n">
        <f aca="false">((P$70-P$73)/(1+($E51/P$72)^P$71))+P$73</f>
        <v>5.3511158507045E-007</v>
      </c>
    </row>
    <row r="64" customFormat="false" ht="13.8" hidden="false" customHeight="false" outlineLevel="0" collapsed="false">
      <c r="F64" s="19" t="n">
        <f aca="false">AVERAGE(F52:G52)</f>
        <v>0</v>
      </c>
      <c r="G64" s="20" t="n">
        <f aca="false">((F$70-F$73)/(1+($E52/F$72)^F$71))+F$73</f>
        <v>0.0112664127087048</v>
      </c>
      <c r="H64" s="19" t="n">
        <f aca="false">AVERAGE(H52:I52)</f>
        <v>0</v>
      </c>
      <c r="I64" s="20" t="n">
        <f aca="false">((H$70-H$73)/(1+($E52/H$72)^H$71))+H$73</f>
        <v>0.00254367997833969</v>
      </c>
      <c r="J64" s="19" t="n">
        <f aca="false">AVERAGE(J52:K52)</f>
        <v>0</v>
      </c>
      <c r="K64" s="20" t="n">
        <f aca="false">((J$70-J$73)/(1+($E52/J$72)^J$71))+J$73</f>
        <v>0.0139664804469274</v>
      </c>
      <c r="L64" s="19" t="n">
        <f aca="false">AVERAGE(L52:M52)</f>
        <v>0</v>
      </c>
      <c r="M64" s="20" t="n">
        <f aca="false">((L$70-L$73)/(1+($E52/L$72)^L$71))+L$73</f>
        <v>0.0125440229364002</v>
      </c>
      <c r="N64" s="19" t="n">
        <f aca="false">AVERAGE(N52:O52)</f>
        <v>0.1395</v>
      </c>
      <c r="O64" s="20" t="n">
        <f aca="false">((N$70-N$73)/(1+($E52/N$72)^N$71))+N$73</f>
        <v>0.144938382854359</v>
      </c>
      <c r="P64" s="19" t="n">
        <f aca="false">AVERAGE(P52:Q52)</f>
        <v>0</v>
      </c>
      <c r="Q64" s="20" t="n">
        <f aca="false">((P$70-P$73)/(1+($E52/P$72)^P$71))+P$73</f>
        <v>3.34448063076825E-008</v>
      </c>
    </row>
    <row r="65" customFormat="false" ht="13.8" hidden="false" customHeight="false" outlineLevel="0" collapsed="false">
      <c r="F65" s="19" t="n">
        <f aca="false">AVERAGE(F53:G53)</f>
        <v>0.0165</v>
      </c>
      <c r="G65" s="20" t="n">
        <f aca="false">((F$70-F$73)/(1+($E53/F$72)^F$71))+F$73</f>
        <v>0.0103175683915288</v>
      </c>
      <c r="H65" s="19" t="n">
        <f aca="false">AVERAGE(H53:I53)</f>
        <v>0</v>
      </c>
      <c r="I65" s="20" t="n">
        <f aca="false">((H$70-H$73)/(1+($E53/H$72)^H$71))+H$73</f>
        <v>0.000734799011386634</v>
      </c>
      <c r="J65" s="19" t="n">
        <f aca="false">AVERAGE(J53:K53)</f>
        <v>0</v>
      </c>
      <c r="K65" s="20" t="n">
        <f aca="false">((J$70-J$73)/(1+($E53/J$72)^J$71))+J$73</f>
        <v>0.00361794500723589</v>
      </c>
      <c r="L65" s="19" t="n">
        <f aca="false">AVERAGE(L53:M53)</f>
        <v>0</v>
      </c>
      <c r="M65" s="20" t="n">
        <f aca="false">((L$70-L$73)/(1+($E53/L$72)^L$71))+L$73</f>
        <v>0.00280656131503334</v>
      </c>
      <c r="N65" s="19" t="n">
        <f aca="false">AVERAGE(N53:O53)</f>
        <v>0.1475</v>
      </c>
      <c r="O65" s="20" t="n">
        <f aca="false">((N$70-N$73)/(1+($E53/N$72)^N$71))+N$73</f>
        <v>0.140862083689155</v>
      </c>
      <c r="P65" s="19"/>
      <c r="Q65" s="20"/>
    </row>
    <row r="66" customFormat="false" ht="13.8" hidden="false" customHeight="false" outlineLevel="0" collapsed="false">
      <c r="F66" s="19"/>
      <c r="G66" s="20"/>
      <c r="H66" s="19"/>
      <c r="I66" s="20"/>
      <c r="J66" s="19"/>
      <c r="K66" s="20"/>
      <c r="L66" s="19"/>
      <c r="M66" s="20"/>
      <c r="N66" s="19"/>
      <c r="O66" s="20"/>
      <c r="P66" s="19"/>
      <c r="Q66" s="20"/>
    </row>
    <row r="67" customFormat="false" ht="13.8" hidden="false" customHeight="false" outlineLevel="0" collapsed="false">
      <c r="E67" s="0" t="s">
        <v>67</v>
      </c>
      <c r="F67" s="19" t="n">
        <v>0.07</v>
      </c>
      <c r="G67" s="21" t="n">
        <f aca="false">1/(F$72*((((F$70-F$73)/(F$67-F$73))-1)^(1/F$71)))</f>
        <v>7013.88888888889</v>
      </c>
      <c r="H67" s="19" t="n">
        <v>0.07</v>
      </c>
      <c r="I67" s="21" t="n">
        <f aca="false">1/(H$72*((((H$70-H$73)/(H$67-H$73))-1)^(1/H$71)))</f>
        <v>7808.62958080575</v>
      </c>
      <c r="J67" s="19" t="n">
        <v>0.07</v>
      </c>
      <c r="K67" s="21" t="n">
        <f aca="false">1/(J$72*((((J$70-J$73)/(J$67-J$73))-1)^(1/J$71)))</f>
        <v>65714.2857142857</v>
      </c>
      <c r="L67" s="19" t="n">
        <v>0.07</v>
      </c>
      <c r="M67" s="21" t="n">
        <f aca="false">1/(L$72*((((L$70-L$73)/(L$67-L$73))-1)^(1/L$71)))</f>
        <v>72813.4779250771</v>
      </c>
      <c r="N67" s="19"/>
      <c r="O67" s="20"/>
      <c r="P67" s="19" t="n">
        <v>0.02</v>
      </c>
      <c r="Q67" s="21" t="n">
        <f aca="false">1/(P$72*((((P$70-P$73)/(P$67-P$73))-1)^(1/P$71)))</f>
        <v>411.636301174282</v>
      </c>
    </row>
    <row r="68" customFormat="false" ht="13.8" hidden="false" customHeight="false" outlineLevel="0" collapsed="false">
      <c r="E68" s="0" t="s">
        <v>68</v>
      </c>
      <c r="F68" s="19"/>
      <c r="G68" s="22" t="n">
        <f aca="false">G67/$Q$67</f>
        <v>17.0390436141814</v>
      </c>
      <c r="H68" s="19"/>
      <c r="I68" s="22" t="n">
        <f aca="false">I67/$Q$67</f>
        <v>18.9697302170142</v>
      </c>
      <c r="J68" s="19"/>
      <c r="K68" s="22" t="n">
        <f aca="false">K67/$Q$67</f>
        <v>159.641619378129</v>
      </c>
      <c r="L68" s="19"/>
      <c r="M68" s="22" t="n">
        <f aca="false">M67/$Q$67</f>
        <v>176.887892825197</v>
      </c>
      <c r="N68" s="19"/>
      <c r="O68" s="21"/>
      <c r="P68" s="19"/>
      <c r="Q68" s="21"/>
    </row>
    <row r="69" s="16" customFormat="true" ht="23.85" hidden="false" customHeight="false" outlineLevel="0" collapsed="false">
      <c r="A69" s="0"/>
      <c r="D69" s="23" t="s">
        <v>69</v>
      </c>
      <c r="F69" s="24"/>
      <c r="G69" s="25" t="s">
        <v>70</v>
      </c>
      <c r="H69" s="24"/>
      <c r="I69" s="25" t="s">
        <v>70</v>
      </c>
      <c r="J69" s="24"/>
      <c r="K69" s="25" t="s">
        <v>70</v>
      </c>
      <c r="L69" s="24"/>
      <c r="M69" s="25" t="s">
        <v>70</v>
      </c>
      <c r="N69" s="24"/>
      <c r="O69" s="25" t="s">
        <v>70</v>
      </c>
      <c r="P69" s="24"/>
      <c r="Q69" s="25" t="s">
        <v>70</v>
      </c>
    </row>
    <row r="70" customFormat="false" ht="13.8" hidden="false" customHeight="false" outlineLevel="0" collapsed="false">
      <c r="B70" s="0" t="s">
        <v>71</v>
      </c>
      <c r="D70" s="0" t="s">
        <v>72</v>
      </c>
      <c r="F70" s="0" t="n">
        <f aca="false">G70</f>
        <v>0.3225</v>
      </c>
      <c r="G70" s="20" t="n">
        <f aca="false">MAX(F58:F65)</f>
        <v>0.3225</v>
      </c>
      <c r="H70" s="0" t="n">
        <f aca="false">I70</f>
        <v>0.3085</v>
      </c>
      <c r="I70" s="20" t="n">
        <f aca="false">MAX(H58:H65)</f>
        <v>0.3085</v>
      </c>
      <c r="J70" s="0" t="n">
        <v>0.3</v>
      </c>
      <c r="K70" s="20" t="n">
        <f aca="false">MAX(J58:J65)</f>
        <v>0.3905</v>
      </c>
      <c r="L70" s="0" t="n">
        <f aca="false">M70</f>
        <v>0.36</v>
      </c>
      <c r="M70" s="20" t="n">
        <f aca="false">MAX(L58:L65)</f>
        <v>0.36</v>
      </c>
      <c r="N70" s="0" t="n">
        <f aca="false">O70</f>
        <v>2.3725</v>
      </c>
      <c r="O70" s="20" t="n">
        <f aca="false">MAX(N58:N65)</f>
        <v>2.3725</v>
      </c>
      <c r="P70" s="0" t="n">
        <f aca="false">Q70</f>
        <v>0.0505</v>
      </c>
      <c r="Q70" s="20" t="n">
        <f aca="false">MAX(P58:P65)</f>
        <v>0.0505</v>
      </c>
    </row>
    <row r="71" customFormat="false" ht="13.8" hidden="false" customHeight="false" outlineLevel="0" collapsed="false">
      <c r="B71" s="0" t="s">
        <v>73</v>
      </c>
      <c r="D71" s="0" t="s">
        <v>74</v>
      </c>
      <c r="F71" s="0" t="n">
        <v>-1</v>
      </c>
      <c r="G71" s="0" t="n">
        <v>-2</v>
      </c>
      <c r="H71" s="0" t="n">
        <v>-0.9</v>
      </c>
      <c r="I71" s="0" t="n">
        <v>-2</v>
      </c>
      <c r="J71" s="0" t="n">
        <v>-1</v>
      </c>
      <c r="K71" s="0" t="n">
        <v>-2</v>
      </c>
      <c r="L71" s="0" t="n">
        <v>-1.1</v>
      </c>
      <c r="M71" s="0" t="n">
        <v>-2</v>
      </c>
      <c r="N71" s="0" t="n">
        <v>-1</v>
      </c>
      <c r="O71" s="0" t="n">
        <v>-2</v>
      </c>
      <c r="P71" s="0" t="n">
        <v>-2</v>
      </c>
      <c r="Q71" s="0" t="n">
        <v>-2</v>
      </c>
    </row>
    <row r="72" customFormat="false" ht="13.8" hidden="false" customHeight="false" outlineLevel="0" collapsed="false">
      <c r="D72" s="0" t="s">
        <v>75</v>
      </c>
      <c r="F72" s="0" t="n">
        <v>0.0006</v>
      </c>
      <c r="G72" s="0" t="n">
        <v>0.002</v>
      </c>
      <c r="H72" s="0" t="n">
        <v>0.0005</v>
      </c>
      <c r="I72" s="0" t="n">
        <v>0.002</v>
      </c>
      <c r="J72" s="0" t="n">
        <v>5E-005</v>
      </c>
      <c r="K72" s="0" t="n">
        <v>0.002</v>
      </c>
      <c r="L72" s="0" t="n">
        <v>5E-005</v>
      </c>
      <c r="M72" s="0" t="n">
        <v>0.002</v>
      </c>
      <c r="N72" s="0" t="n">
        <v>0.001</v>
      </c>
      <c r="O72" s="0" t="n">
        <v>0.002</v>
      </c>
      <c r="P72" s="0" t="n">
        <v>0.003</v>
      </c>
      <c r="Q72" s="0" t="n">
        <v>0.002</v>
      </c>
    </row>
    <row r="73" customFormat="false" ht="13.8" hidden="false" customHeight="false" outlineLevel="0" collapsed="false">
      <c r="B73" s="0" t="s">
        <v>76</v>
      </c>
      <c r="D73" s="0" t="s">
        <v>77</v>
      </c>
      <c r="F73" s="0" t="n">
        <v>0.01</v>
      </c>
      <c r="G73" s="20" t="n">
        <f aca="false">MIN(F58:F65)</f>
        <v>0</v>
      </c>
      <c r="H73" s="0" t="n">
        <f aca="false">I73/5</f>
        <v>0</v>
      </c>
      <c r="I73" s="20" t="n">
        <f aca="false">MIN(H58:H65)</f>
        <v>0</v>
      </c>
      <c r="J73" s="0" t="n">
        <v>0</v>
      </c>
      <c r="K73" s="20" t="n">
        <f aca="false">MIN(J58:J63)</f>
        <v>0</v>
      </c>
      <c r="L73" s="0" t="n">
        <f aca="false">M73/3</f>
        <v>0</v>
      </c>
      <c r="M73" s="20" t="n">
        <f aca="false">MIN(L58:L65)</f>
        <v>0</v>
      </c>
      <c r="N73" s="0" t="n">
        <f aca="false">O73</f>
        <v>0.1395</v>
      </c>
      <c r="O73" s="20" t="n">
        <f aca="false">MIN(N58:N65)</f>
        <v>0.1395</v>
      </c>
      <c r="P73" s="0" t="n">
        <f aca="false">Q73</f>
        <v>0</v>
      </c>
      <c r="Q73" s="20" t="n">
        <f aca="false">MIN(P58:P65)</f>
        <v>0</v>
      </c>
    </row>
    <row r="74" customFormat="false" ht="13.8" hidden="false" customHeight="false" outlineLevel="0" collapsed="false">
      <c r="F74" s="19"/>
      <c r="G74" s="20"/>
      <c r="H74" s="19"/>
      <c r="I74" s="20"/>
      <c r="J74" s="19"/>
      <c r="K74" s="20"/>
      <c r="L74" s="19"/>
      <c r="M74" s="20"/>
      <c r="N74" s="19"/>
      <c r="O74" s="20"/>
      <c r="P74" s="19"/>
      <c r="Q74" s="20"/>
    </row>
    <row r="75" customFormat="false" ht="13.8" hidden="false" customHeight="false" outlineLevel="0" collapsed="false">
      <c r="F75" s="19"/>
      <c r="G75" s="20"/>
      <c r="H75" s="19"/>
      <c r="I75" s="20"/>
      <c r="J75" s="19"/>
      <c r="K75" s="20"/>
      <c r="L75" s="19"/>
      <c r="M75" s="20"/>
      <c r="N75" s="19"/>
      <c r="O75" s="20"/>
      <c r="P75" s="19"/>
      <c r="Q75" s="20"/>
    </row>
    <row r="76" customFormat="false" ht="13.8" hidden="false" customHeight="false" outlineLevel="0" collapsed="false">
      <c r="F76" s="19"/>
      <c r="G76" s="20"/>
      <c r="H76" s="19"/>
      <c r="I76" s="20"/>
      <c r="J76" s="19"/>
      <c r="K76" s="20"/>
      <c r="L76" s="19"/>
      <c r="M76" s="20"/>
      <c r="N76" s="19"/>
      <c r="O76" s="20"/>
      <c r="P76" s="19"/>
      <c r="Q76" s="20"/>
    </row>
    <row r="77" customFormat="false" ht="13.8" hidden="false" customHeight="false" outlineLevel="0" collapsed="false">
      <c r="F77" s="19"/>
      <c r="G77" s="26" t="s">
        <v>78</v>
      </c>
      <c r="H77" s="19"/>
      <c r="I77" s="26" t="s">
        <v>78</v>
      </c>
      <c r="J77" s="19"/>
      <c r="K77" s="26" t="s">
        <v>78</v>
      </c>
      <c r="L77" s="19"/>
      <c r="M77" s="26" t="s">
        <v>78</v>
      </c>
      <c r="N77" s="19"/>
      <c r="O77" s="26" t="s">
        <v>78</v>
      </c>
      <c r="P77" s="19"/>
      <c r="Q77" s="26" t="s">
        <v>78</v>
      </c>
    </row>
    <row r="78" customFormat="false" ht="13.8" hidden="false" customHeight="false" outlineLevel="0" collapsed="false">
      <c r="F78" s="19"/>
      <c r="G78" s="20" t="n">
        <f aca="false">(F58-G58)^2</f>
        <v>0.000312889373442508</v>
      </c>
      <c r="H78" s="19"/>
      <c r="I78" s="20" t="n">
        <f aca="false">(H58-I58)^2</f>
        <v>0.00180647797020829</v>
      </c>
      <c r="J78" s="19"/>
      <c r="K78" s="20" t="n">
        <f aca="false">(J58-K58)^2</f>
        <v>0.00497130229449766</v>
      </c>
      <c r="L78" s="19"/>
      <c r="M78" s="20" t="n">
        <f aca="false">(L58-M58)^2</f>
        <v>1.11631319319806E-006</v>
      </c>
      <c r="N78" s="19"/>
      <c r="O78" s="20" t="n">
        <f aca="false">(N58-O58)^2</f>
        <v>0.0412090000000001</v>
      </c>
      <c r="P78" s="19"/>
      <c r="Q78" s="20" t="n">
        <f aca="false">(P58-Q58)^2</f>
        <v>1.73866046629072E-005</v>
      </c>
    </row>
    <row r="79" customFormat="false" ht="13.8" hidden="false" customHeight="false" outlineLevel="0" collapsed="false">
      <c r="F79" s="19"/>
      <c r="G79" s="20" t="n">
        <f aca="false">(F59-G59)^2</f>
        <v>0.00030568574401665</v>
      </c>
      <c r="H79" s="19"/>
      <c r="I79" s="20" t="n">
        <f aca="false">(H59-I59)^2</f>
        <v>0.00344416552831062</v>
      </c>
      <c r="J79" s="19"/>
      <c r="K79" s="20" t="n">
        <f aca="false">(J59-K59)^2</f>
        <v>0.00928955795847751</v>
      </c>
      <c r="L79" s="19"/>
      <c r="M79" s="20" t="n">
        <f aca="false">(L59-M59)^2</f>
        <v>0.0010046377562184</v>
      </c>
      <c r="N79" s="19"/>
      <c r="O79" s="20" t="n">
        <f aca="false">(N59-O59)^2</f>
        <v>0.00122500000000001</v>
      </c>
      <c r="P79" s="19"/>
      <c r="Q79" s="20" t="n">
        <f aca="false">(P59-Q59)^2</f>
        <v>4.85420585864019E-007</v>
      </c>
    </row>
    <row r="80" customFormat="false" ht="13.8" hidden="false" customHeight="false" outlineLevel="0" collapsed="false">
      <c r="F80" s="19"/>
      <c r="G80" s="20" t="n">
        <f aca="false">(F60-G60)^2</f>
        <v>0.00274982517700958</v>
      </c>
      <c r="H80" s="19"/>
      <c r="I80" s="20" t="n">
        <f aca="false">(H60-I60)^2</f>
        <v>4.47173335390878E-005</v>
      </c>
      <c r="J80" s="19"/>
      <c r="K80" s="20" t="n">
        <f aca="false">(J60-K60)^2</f>
        <v>0.00375496604938271</v>
      </c>
      <c r="L80" s="19"/>
      <c r="M80" s="20" t="n">
        <f aca="false">(L60-M60)^2</f>
        <v>0.00037780098231846</v>
      </c>
      <c r="N80" s="19"/>
      <c r="O80" s="20" t="n">
        <f aca="false">(N60-O60)^2</f>
        <v>0.0592173505917159</v>
      </c>
      <c r="P80" s="19"/>
      <c r="Q80" s="20" t="n">
        <f aca="false">(P60-Q60)^2</f>
        <v>4.41279578406483E-006</v>
      </c>
    </row>
    <row r="81" customFormat="false" ht="13.8" hidden="false" customHeight="false" outlineLevel="0" collapsed="false">
      <c r="F81" s="19"/>
      <c r="G81" s="20" t="n">
        <f aca="false">(F61-G61)^2</f>
        <v>3.52109828563623E-005</v>
      </c>
      <c r="H81" s="19"/>
      <c r="I81" s="20" t="n">
        <f aca="false">(H61-I61)^2</f>
        <v>0.0014944826588691</v>
      </c>
      <c r="J81" s="19"/>
      <c r="K81" s="20" t="n">
        <f aca="false">(J61-K61)^2</f>
        <v>0.0062841652892562</v>
      </c>
      <c r="L81" s="19"/>
      <c r="M81" s="20" t="n">
        <f aca="false">(L61-M61)^2</f>
        <v>0.000989842081514685</v>
      </c>
      <c r="N81" s="19"/>
      <c r="O81" s="20" t="n">
        <f aca="false">(N61-O61)^2</f>
        <v>0.00529157943754566</v>
      </c>
      <c r="P81" s="19"/>
      <c r="Q81" s="20" t="n">
        <f aca="false">(P61-Q61)^2</f>
        <v>1.86648641405453E-008</v>
      </c>
    </row>
    <row r="82" customFormat="false" ht="13.8" hidden="false" customHeight="false" outlineLevel="0" collapsed="false">
      <c r="F82" s="19"/>
      <c r="G82" s="20" t="n">
        <f aca="false">(F62-G62)^2</f>
        <v>0.000129926554719305</v>
      </c>
      <c r="H82" s="19"/>
      <c r="I82" s="20" t="n">
        <f aca="false">(H62-I62)^2</f>
        <v>3.07040516579633E-006</v>
      </c>
      <c r="J82" s="19"/>
      <c r="K82" s="20" t="n">
        <f aca="false">(J62-K62)^2</f>
        <v>2.096675900277E-005</v>
      </c>
      <c r="L82" s="19"/>
      <c r="M82" s="20" t="n">
        <f aca="false">(L62-M62)^2</f>
        <v>0.000265366505472424</v>
      </c>
      <c r="N82" s="19"/>
      <c r="O82" s="20" t="n">
        <f aca="false">(N62-O62)^2</f>
        <v>0.00148630540166205</v>
      </c>
      <c r="P82" s="19"/>
      <c r="Q82" s="20" t="n">
        <f aca="false">(P62-Q62)^2</f>
        <v>2.22439200667357E-006</v>
      </c>
    </row>
    <row r="83" customFormat="false" ht="13.8" hidden="false" customHeight="false" outlineLevel="0" collapsed="false">
      <c r="F83" s="19"/>
      <c r="G83" s="20" t="n">
        <f aca="false">(F63-G63)^2</f>
        <v>0.000225144161457139</v>
      </c>
      <c r="H83" s="19"/>
      <c r="I83" s="20" t="n">
        <f aca="false">(H63-I63)^2</f>
        <v>7.53416951733267E-005</v>
      </c>
      <c r="J83" s="19"/>
      <c r="K83" s="20" t="n">
        <f aca="false">(J63-K63)^2</f>
        <v>0.00240292195309496</v>
      </c>
      <c r="L83" s="19"/>
      <c r="M83" s="20" t="n">
        <f aca="false">(L63-M63)^2</f>
        <v>0.0026236193007288</v>
      </c>
      <c r="N83" s="19"/>
      <c r="O83" s="20" t="n">
        <f aca="false">(N63-O63)^2</f>
        <v>0.000864610230873697</v>
      </c>
      <c r="P83" s="19"/>
      <c r="Q83" s="20" t="n">
        <f aca="false">(P63-Q63)^2</f>
        <v>2.8634440847661E-013</v>
      </c>
    </row>
    <row r="84" customFormat="false" ht="13.8" hidden="false" customHeight="false" outlineLevel="0" collapsed="false">
      <c r="F84" s="19"/>
      <c r="G84" s="20" t="n">
        <f aca="false">(F64-G64)^2</f>
        <v>0.000126932055322865</v>
      </c>
      <c r="H84" s="19"/>
      <c r="I84" s="20" t="n">
        <f aca="false">(H64-I64)^2</f>
        <v>6.47030783220622E-006</v>
      </c>
      <c r="J84" s="19"/>
      <c r="K84" s="20" t="n">
        <f aca="false">(J64-K64)^2</f>
        <v>0.000195062576074405</v>
      </c>
      <c r="L84" s="19"/>
      <c r="M84" s="20" t="n">
        <f aca="false">(L64-M64)^2</f>
        <v>0.000157352511428933</v>
      </c>
      <c r="N84" s="19"/>
      <c r="O84" s="20" t="n">
        <f aca="false">(N64-O64)^2</f>
        <v>2.9576008070591E-005</v>
      </c>
      <c r="P84" s="19"/>
      <c r="Q84" s="20" t="n">
        <f aca="false">(P64-Q64)^2</f>
        <v>1.1185550689584E-015</v>
      </c>
    </row>
    <row r="85" customFormat="false" ht="13.8" hidden="false" customHeight="false" outlineLevel="0" collapsed="false">
      <c r="F85" s="27"/>
      <c r="G85" s="28" t="n">
        <f aca="false">(F65-G65)^2</f>
        <v>3.82224605934238E-005</v>
      </c>
      <c r="H85" s="27"/>
      <c r="I85" s="28" t="n">
        <f aca="false">(H65-I65)^2</f>
        <v>5.39929587134775E-007</v>
      </c>
      <c r="J85" s="27"/>
      <c r="K85" s="28" t="n">
        <f aca="false">(J65-K65)^2</f>
        <v>1.30895260753831E-005</v>
      </c>
      <c r="L85" s="27"/>
      <c r="M85" s="28" t="n">
        <f aca="false">(L65-M65)^2</f>
        <v>7.87678641504165E-006</v>
      </c>
      <c r="N85" s="27"/>
      <c r="O85" s="28" t="n">
        <f aca="false">(N65-O65)^2</f>
        <v>4.40619329497874E-005</v>
      </c>
      <c r="P85" s="27"/>
      <c r="Q85" s="28" t="n">
        <f aca="false">(P65-Q65)^2</f>
        <v>0</v>
      </c>
    </row>
    <row r="86" customFormat="false" ht="13.8" hidden="false" customHeight="false" outlineLevel="0" collapsed="false">
      <c r="G86" s="29" t="n">
        <f aca="false">SUM(G78:G85)</f>
        <v>0.00392383650941783</v>
      </c>
      <c r="I86" s="29" t="n">
        <f aca="false">SUM(I78:I85)</f>
        <v>0.00687526582868556</v>
      </c>
      <c r="K86" s="29" t="n">
        <f aca="false">SUM(K78:K85)</f>
        <v>0.0269320324058616</v>
      </c>
      <c r="M86" s="29" t="n">
        <f aca="false">SUM(M78:M85)</f>
        <v>0.00542761223728995</v>
      </c>
      <c r="O86" s="29" t="n">
        <f aca="false">SUM(O78:O85)</f>
        <v>0.109367483602818</v>
      </c>
      <c r="Q86" s="29" t="n">
        <f aca="false">SUM(Q78:Q85)</f>
        <v>2.45278781911131E-005</v>
      </c>
    </row>
    <row r="109" customFormat="false" ht="13.8" hidden="false" customHeight="false" outlineLevel="0" collapsed="false">
      <c r="L109" s="20"/>
    </row>
    <row r="110" customFormat="false" ht="13.8" hidden="false" customHeight="false" outlineLevel="0" collapsed="false">
      <c r="L110" s="20"/>
    </row>
    <row r="111" customFormat="false" ht="13.8" hidden="false" customHeight="false" outlineLevel="0" collapsed="false">
      <c r="L111" s="20"/>
    </row>
    <row r="112" customFormat="false" ht="13.8" hidden="false" customHeight="false" outlineLevel="0" collapsed="false">
      <c r="L112" s="20"/>
    </row>
  </sheetData>
  <printOptions headings="false" gridLines="false" gridLinesSet="true" horizontalCentered="false" verticalCentered="false"/>
  <pageMargins left="0.7875" right="0.7875" top="1.15138888888889" bottom="1.15138888888889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R112"/>
  <sheetViews>
    <sheetView showFormulas="false" showGridLines="true" showRowColHeaders="true" showZeros="true" rightToLeft="false" tabSelected="false" showOutlineSymbols="true" defaultGridColor="true" view="normal" topLeftCell="B45" colorId="64" zoomScale="100" zoomScaleNormal="100" zoomScalePageLayoutView="100" workbookViewId="0">
      <selection pane="topLeft" activeCell="L67" activeCellId="0" sqref="L67"/>
    </sheetView>
  </sheetViews>
  <sheetFormatPr defaultColWidth="7.86328125" defaultRowHeight="13.8" zeroHeight="false" outlineLevelRow="0" outlineLevelCol="0"/>
  <cols>
    <col collapsed="false" customWidth="true" hidden="false" outlineLevel="0" max="1" min="1" style="0" width="21.8"/>
    <col collapsed="false" customWidth="true" hidden="false" outlineLevel="0" max="4" min="2" style="0" width="8.9"/>
    <col collapsed="false" customWidth="true" hidden="false" outlineLevel="0" max="5" min="5" style="0" width="10.5"/>
    <col collapsed="false" customWidth="true" hidden="false" outlineLevel="0" max="6" min="6" style="0" width="8.74"/>
    <col collapsed="false" customWidth="true" hidden="false" outlineLevel="0" max="7" min="7" style="0" width="7.25"/>
    <col collapsed="false" customWidth="true" hidden="false" outlineLevel="0" max="9" min="8" style="0" width="9.5"/>
    <col collapsed="false" customWidth="true" hidden="false" outlineLevel="0" max="10" min="10" style="0" width="7.39"/>
    <col collapsed="false" customWidth="true" hidden="false" outlineLevel="0" max="11" min="11" style="0" width="8.12"/>
    <col collapsed="false" customWidth="true" hidden="false" outlineLevel="0" max="12" min="12" style="0" width="7.5"/>
    <col collapsed="false" customWidth="true" hidden="false" outlineLevel="0" max="13" min="13" style="0" width="7.39"/>
    <col collapsed="false" customWidth="true" hidden="false" outlineLevel="0" max="14" min="14" style="0" width="6.62"/>
    <col collapsed="false" customWidth="true" hidden="false" outlineLevel="0" max="15" min="15" style="0" width="6.25"/>
    <col collapsed="false" customWidth="true" hidden="false" outlineLevel="0" max="16" min="16" style="0" width="7.75"/>
    <col collapsed="false" customWidth="true" hidden="false" outlineLevel="0" max="17" min="17" style="0" width="6.87"/>
  </cols>
  <sheetData>
    <row r="2" customFormat="false" ht="13.8" hidden="false" customHeight="false" outlineLevel="0" collapsed="false">
      <c r="A2" s="0" t="s">
        <v>0</v>
      </c>
    </row>
    <row r="3" customFormat="false" ht="13.8" hidden="false" customHeight="false" outlineLevel="0" collapsed="false">
      <c r="A3" s="0" t="s">
        <v>79</v>
      </c>
    </row>
    <row r="4" customFormat="false" ht="13.8" hidden="false" customHeight="false" outlineLevel="0" collapsed="false">
      <c r="A4" s="0" t="s">
        <v>2</v>
      </c>
    </row>
    <row r="5" customFormat="false" ht="13.8" hidden="false" customHeight="false" outlineLevel="0" collapsed="false">
      <c r="A5" s="0" t="s">
        <v>3</v>
      </c>
    </row>
    <row r="7" customFormat="false" ht="13.8" hidden="false" customHeight="false" outlineLevel="0" collapsed="false">
      <c r="A7" s="0" t="s">
        <v>4</v>
      </c>
    </row>
    <row r="8" customFormat="false" ht="13.8" hidden="false" customHeight="false" outlineLevel="0" collapsed="false">
      <c r="A8" s="0" t="s">
        <v>5</v>
      </c>
    </row>
    <row r="9" customFormat="false" ht="13.8" hidden="false" customHeight="false" outlineLevel="0" collapsed="false">
      <c r="A9" s="0" t="s">
        <v>6</v>
      </c>
    </row>
    <row r="10" customFormat="false" ht="13.8" hidden="false" customHeight="false" outlineLevel="0" collapsed="false">
      <c r="A10" s="0" t="s">
        <v>7</v>
      </c>
    </row>
    <row r="11" customFormat="false" ht="13.8" hidden="false" customHeight="false" outlineLevel="0" collapsed="false">
      <c r="A11" s="0" t="s">
        <v>8</v>
      </c>
    </row>
    <row r="13" customFormat="false" ht="13.8" hidden="false" customHeight="false" outlineLevel="0" collapsed="false">
      <c r="A13" s="0" t="s">
        <v>9</v>
      </c>
    </row>
    <row r="14" customFormat="false" ht="13.8" hidden="false" customHeight="false" outlineLevel="0" collapsed="false">
      <c r="A14" s="0" t="s">
        <v>10</v>
      </c>
    </row>
    <row r="15" customFormat="false" ht="13.8" hidden="false" customHeight="false" outlineLevel="0" collapsed="false">
      <c r="A15" s="0" t="s">
        <v>11</v>
      </c>
    </row>
    <row r="16" customFormat="false" ht="13.8" hidden="false" customHeight="false" outlineLevel="0" collapsed="false">
      <c r="A16" s="0" t="s">
        <v>12</v>
      </c>
    </row>
    <row r="17" customFormat="false" ht="13.8" hidden="false" customHeight="false" outlineLevel="0" collapsed="false">
      <c r="A17" s="0" t="s">
        <v>13</v>
      </c>
    </row>
    <row r="18" customFormat="false" ht="13.8" hidden="false" customHeight="false" outlineLevel="0" collapsed="false">
      <c r="A18" s="0" t="s">
        <v>14</v>
      </c>
    </row>
    <row r="19" customFormat="false" ht="13.8" hidden="false" customHeight="false" outlineLevel="0" collapsed="false">
      <c r="A19" s="0" t="s">
        <v>15</v>
      </c>
    </row>
    <row r="20" customFormat="false" ht="13.8" hidden="false" customHeight="false" outlineLevel="0" collapsed="false">
      <c r="A20" s="0" t="s">
        <v>16</v>
      </c>
    </row>
    <row r="21" customFormat="false" ht="13.8" hidden="false" customHeight="false" outlineLevel="0" collapsed="false">
      <c r="A21" s="0" t="s">
        <v>17</v>
      </c>
    </row>
    <row r="22" customFormat="false" ht="13.8" hidden="false" customHeight="false" outlineLevel="0" collapsed="false">
      <c r="A22" s="0" t="s">
        <v>18</v>
      </c>
    </row>
    <row r="23" customFormat="false" ht="13.8" hidden="false" customHeight="false" outlineLevel="0" collapsed="false">
      <c r="A23" s="0" t="s">
        <v>19</v>
      </c>
    </row>
    <row r="24" customFormat="false" ht="13.8" hidden="false" customHeight="false" outlineLevel="0" collapsed="false">
      <c r="A24" s="0" t="s">
        <v>20</v>
      </c>
    </row>
    <row r="25" customFormat="false" ht="13.8" hidden="false" customHeight="false" outlineLevel="0" collapsed="false">
      <c r="A25" s="0" t="s">
        <v>21</v>
      </c>
    </row>
    <row r="27" customFormat="false" ht="13.8" hidden="false" customHeight="false" outlineLevel="0" collapsed="false">
      <c r="A27" s="0" t="s">
        <v>22</v>
      </c>
    </row>
    <row r="28" customFormat="false" ht="13.8" hidden="false" customHeight="false" outlineLevel="0" collapsed="false">
      <c r="A28" s="0" t="s">
        <v>15</v>
      </c>
    </row>
    <row r="29" customFormat="false" ht="13.8" hidden="false" customHeight="false" outlineLevel="0" collapsed="false">
      <c r="A29" s="0" t="s">
        <v>23</v>
      </c>
      <c r="E29" s="0" t="s">
        <v>24</v>
      </c>
      <c r="F29" s="0" t="s">
        <v>25</v>
      </c>
      <c r="G29" s="0" t="s">
        <v>26</v>
      </c>
      <c r="H29" s="0" t="s">
        <v>27</v>
      </c>
      <c r="I29" s="0" t="s">
        <v>28</v>
      </c>
      <c r="J29" s="0" t="s">
        <v>29</v>
      </c>
    </row>
    <row r="31" customFormat="false" ht="13.8" hidden="false" customHeight="false" outlineLevel="0" collapsed="false">
      <c r="A31" s="0" t="s">
        <v>30</v>
      </c>
      <c r="F31" s="0" t="s">
        <v>31</v>
      </c>
    </row>
    <row r="32" customFormat="false" ht="13.8" hidden="false" customHeight="false" outlineLevel="0" collapsed="false">
      <c r="F32" s="0" t="n">
        <v>1</v>
      </c>
      <c r="G32" s="0" t="n">
        <v>2</v>
      </c>
      <c r="H32" s="0" t="n">
        <v>3</v>
      </c>
      <c r="I32" s="0" t="n">
        <v>4</v>
      </c>
      <c r="J32" s="0" t="n">
        <v>5</v>
      </c>
      <c r="K32" s="0" t="n">
        <v>6</v>
      </c>
      <c r="L32" s="0" t="n">
        <v>7</v>
      </c>
      <c r="M32" s="0" t="n">
        <v>8</v>
      </c>
      <c r="N32" s="0" t="n">
        <v>9</v>
      </c>
      <c r="O32" s="0" t="n">
        <v>10</v>
      </c>
      <c r="P32" s="0" t="n">
        <v>11</v>
      </c>
      <c r="Q32" s="0" t="n">
        <v>12</v>
      </c>
    </row>
    <row r="33" customFormat="false" ht="13.8" hidden="false" customHeight="false" outlineLevel="0" collapsed="false">
      <c r="A33" s="0" t="s">
        <v>32</v>
      </c>
      <c r="F33" s="0" t="n">
        <v>0.65</v>
      </c>
      <c r="G33" s="0" t="n">
        <v>0.559</v>
      </c>
      <c r="H33" s="0" t="n">
        <v>0.486</v>
      </c>
      <c r="I33" s="0" t="n">
        <v>0.539</v>
      </c>
      <c r="J33" s="0" t="n">
        <v>0.409</v>
      </c>
      <c r="K33" s="0" t="n">
        <v>0.427</v>
      </c>
      <c r="L33" s="0" t="n">
        <v>0.641</v>
      </c>
      <c r="M33" s="0" t="n">
        <v>0.638</v>
      </c>
      <c r="N33" s="0" t="n">
        <v>1.802</v>
      </c>
      <c r="O33" s="0" t="n">
        <v>1.86</v>
      </c>
      <c r="P33" s="0" t="n">
        <v>0.28</v>
      </c>
      <c r="Q33" s="0" t="n">
        <v>0.304</v>
      </c>
      <c r="R33" s="0" t="s">
        <v>29</v>
      </c>
    </row>
    <row r="34" customFormat="false" ht="13.8" hidden="false" customHeight="false" outlineLevel="0" collapsed="false">
      <c r="A34" s="0" t="s">
        <v>33</v>
      </c>
      <c r="F34" s="0" t="n">
        <v>0.629</v>
      </c>
      <c r="G34" s="0" t="n">
        <v>0.69</v>
      </c>
      <c r="H34" s="0" t="n">
        <v>0.573</v>
      </c>
      <c r="I34" s="0" t="n">
        <v>0.585</v>
      </c>
      <c r="J34" s="0" t="n">
        <v>0.342</v>
      </c>
      <c r="K34" s="0" t="n">
        <v>0.328</v>
      </c>
      <c r="L34" s="0" t="n">
        <v>0.555</v>
      </c>
      <c r="M34" s="0" t="n">
        <v>0.537</v>
      </c>
      <c r="N34" s="0" t="n">
        <v>1.701</v>
      </c>
      <c r="O34" s="0" t="n">
        <v>1.861</v>
      </c>
      <c r="P34" s="0" t="n">
        <v>0.362</v>
      </c>
      <c r="Q34" s="0" t="n">
        <v>0.258</v>
      </c>
      <c r="R34" s="0" t="s">
        <v>29</v>
      </c>
    </row>
    <row r="35" customFormat="false" ht="13.8" hidden="false" customHeight="false" outlineLevel="0" collapsed="false">
      <c r="A35" s="0" t="s">
        <v>34</v>
      </c>
      <c r="F35" s="0" t="n">
        <v>0.43</v>
      </c>
      <c r="G35" s="0" t="n">
        <v>0.539</v>
      </c>
      <c r="H35" s="0" t="n">
        <v>0.434</v>
      </c>
      <c r="I35" s="0" t="n">
        <v>0.494</v>
      </c>
      <c r="J35" s="0" t="n">
        <v>0.252</v>
      </c>
      <c r="K35" s="0" t="n">
        <v>0.189</v>
      </c>
      <c r="L35" s="0" t="n">
        <v>0.315</v>
      </c>
      <c r="M35" s="0" t="n">
        <v>0.318</v>
      </c>
      <c r="N35" s="0" t="n">
        <v>1.231</v>
      </c>
      <c r="O35" s="0" t="n">
        <v>1.121</v>
      </c>
      <c r="P35" s="0" t="n">
        <v>0.225</v>
      </c>
      <c r="Q35" s="0" t="n">
        <v>0.234</v>
      </c>
      <c r="R35" s="0" t="s">
        <v>29</v>
      </c>
    </row>
    <row r="36" customFormat="false" ht="13.8" hidden="false" customHeight="false" outlineLevel="0" collapsed="false">
      <c r="A36" s="0" t="s">
        <v>35</v>
      </c>
      <c r="F36" s="0" t="n">
        <v>0.431</v>
      </c>
      <c r="G36" s="0" t="n">
        <v>0.348</v>
      </c>
      <c r="H36" s="0" t="n">
        <v>0.328</v>
      </c>
      <c r="I36" s="0" t="n">
        <v>0.468</v>
      </c>
      <c r="J36" s="0" t="n">
        <v>0.146</v>
      </c>
      <c r="K36" s="0" t="n">
        <v>0.169</v>
      </c>
      <c r="L36" s="0" t="n">
        <v>0.472</v>
      </c>
      <c r="M36" s="0" t="n">
        <v>0.239</v>
      </c>
      <c r="N36" s="0" t="n">
        <v>0.862</v>
      </c>
      <c r="O36" s="0" t="n">
        <v>0.907</v>
      </c>
      <c r="P36" s="0" t="n">
        <v>0.242</v>
      </c>
      <c r="Q36" s="0" t="n">
        <v>0.257</v>
      </c>
      <c r="R36" s="0" t="s">
        <v>29</v>
      </c>
    </row>
    <row r="37" customFormat="false" ht="13.8" hidden="false" customHeight="false" outlineLevel="0" collapsed="false">
      <c r="A37" s="0" t="s">
        <v>36</v>
      </c>
      <c r="F37" s="0" t="n">
        <v>0.317</v>
      </c>
      <c r="G37" s="0" t="n">
        <v>0.206</v>
      </c>
      <c r="H37" s="0" t="n">
        <v>0.201</v>
      </c>
      <c r="I37" s="0" t="n">
        <v>0.398</v>
      </c>
      <c r="J37" s="0" t="n">
        <v>0.178</v>
      </c>
      <c r="K37" s="0" t="n">
        <v>0.121</v>
      </c>
      <c r="L37" s="0" t="n">
        <v>0.46</v>
      </c>
      <c r="M37" s="0" t="n">
        <v>0.43</v>
      </c>
      <c r="N37" s="0" t="n">
        <v>0.454</v>
      </c>
      <c r="O37" s="0" t="n">
        <v>0.426</v>
      </c>
      <c r="P37" s="0" t="n">
        <v>0.208</v>
      </c>
      <c r="Q37" s="0" t="n">
        <v>0.263</v>
      </c>
      <c r="R37" s="0" t="s">
        <v>29</v>
      </c>
    </row>
    <row r="38" customFormat="false" ht="13.8" hidden="false" customHeight="false" outlineLevel="0" collapsed="false">
      <c r="A38" s="0" t="s">
        <v>37</v>
      </c>
      <c r="F38" s="0" t="n">
        <v>0.255</v>
      </c>
      <c r="G38" s="0" t="n">
        <v>0.133</v>
      </c>
      <c r="H38" s="0" t="n">
        <v>0.125</v>
      </c>
      <c r="I38" s="0" t="n">
        <v>0.121</v>
      </c>
      <c r="J38" s="0" t="n">
        <v>0.079</v>
      </c>
      <c r="K38" s="0" t="n">
        <v>0.084</v>
      </c>
      <c r="L38" s="0" t="n">
        <v>0.408</v>
      </c>
      <c r="M38" s="0" t="n">
        <v>0.205</v>
      </c>
      <c r="N38" s="0" t="n">
        <v>0.371</v>
      </c>
      <c r="O38" s="0" t="n">
        <v>0.825</v>
      </c>
      <c r="P38" s="0" t="n">
        <v>0.206</v>
      </c>
      <c r="Q38" s="0" t="n">
        <v>0.315</v>
      </c>
      <c r="R38" s="0" t="s">
        <v>29</v>
      </c>
    </row>
    <row r="39" customFormat="false" ht="13.8" hidden="false" customHeight="false" outlineLevel="0" collapsed="false">
      <c r="A39" s="0" t="s">
        <v>38</v>
      </c>
      <c r="F39" s="0" t="n">
        <v>0.215</v>
      </c>
      <c r="G39" s="0" t="n">
        <v>0.145</v>
      </c>
      <c r="H39" s="0" t="n">
        <v>0.109</v>
      </c>
      <c r="I39" s="0" t="n">
        <v>0.127</v>
      </c>
      <c r="J39" s="0" t="n">
        <v>0.105</v>
      </c>
      <c r="K39" s="0" t="n">
        <v>0.102</v>
      </c>
      <c r="L39" s="0" t="n">
        <v>0.111</v>
      </c>
      <c r="M39" s="0" t="n">
        <v>0.112</v>
      </c>
      <c r="N39" s="0" t="n">
        <v>0.406</v>
      </c>
      <c r="O39" s="0" t="n">
        <v>0.444</v>
      </c>
      <c r="P39" s="0" t="n">
        <v>0.269</v>
      </c>
      <c r="Q39" s="0" t="n">
        <v>0.415</v>
      </c>
      <c r="R39" s="0" t="s">
        <v>29</v>
      </c>
    </row>
    <row r="40" customFormat="false" ht="13.8" hidden="false" customHeight="false" outlineLevel="0" collapsed="false">
      <c r="A40" s="0" t="s">
        <v>39</v>
      </c>
      <c r="F40" s="0" t="n">
        <v>0.243</v>
      </c>
      <c r="G40" s="0" t="n">
        <v>0.249</v>
      </c>
      <c r="H40" s="0" t="n">
        <v>0.219</v>
      </c>
      <c r="I40" s="0" t="n">
        <v>0.188</v>
      </c>
      <c r="J40" s="0" t="n">
        <v>0.108</v>
      </c>
      <c r="K40" s="0" t="n">
        <v>0.151</v>
      </c>
      <c r="L40" s="0" t="n">
        <v>0.137</v>
      </c>
      <c r="M40" s="0" t="n">
        <v>0.138</v>
      </c>
      <c r="N40" s="0" t="n">
        <v>0.346</v>
      </c>
      <c r="O40" s="0" t="n">
        <v>0.376</v>
      </c>
      <c r="P40" s="0" t="n">
        <v>0.082</v>
      </c>
      <c r="Q40" s="0" t="n">
        <v>0.189</v>
      </c>
      <c r="R40" s="0" t="s">
        <v>29</v>
      </c>
    </row>
    <row r="42" customFormat="false" ht="13.8" hidden="false" customHeight="false" outlineLevel="0" collapsed="false">
      <c r="A42" s="0" t="s">
        <v>40</v>
      </c>
    </row>
    <row r="43" customFormat="false" ht="13.8" hidden="false" customHeight="false" outlineLevel="0" collapsed="false">
      <c r="A43" s="0" t="s">
        <v>41</v>
      </c>
      <c r="F43" s="0" t="s">
        <v>42</v>
      </c>
      <c r="Q43" s="0" t="s">
        <v>42</v>
      </c>
    </row>
    <row r="44" s="1" customFormat="true" ht="13.8" hidden="false" customHeight="false" outlineLevel="0" collapsed="false">
      <c r="A44" s="0"/>
      <c r="F44" s="1" t="n">
        <v>1</v>
      </c>
      <c r="G44" s="1" t="n">
        <v>2</v>
      </c>
      <c r="H44" s="1" t="n">
        <v>3</v>
      </c>
      <c r="I44" s="1" t="n">
        <v>4</v>
      </c>
      <c r="J44" s="1" t="n">
        <v>5</v>
      </c>
      <c r="K44" s="1" t="n">
        <v>6</v>
      </c>
      <c r="L44" s="1" t="n">
        <v>7</v>
      </c>
      <c r="M44" s="1" t="n">
        <v>8</v>
      </c>
      <c r="N44" s="1" t="n">
        <v>9</v>
      </c>
      <c r="O44" s="1" t="n">
        <v>10</v>
      </c>
      <c r="P44" s="1" t="n">
        <v>11</v>
      </c>
      <c r="Q44" s="1" t="n">
        <v>12</v>
      </c>
    </row>
    <row r="45" s="2" customFormat="true" ht="15" hidden="false" customHeight="false" outlineLevel="0" collapsed="false">
      <c r="A45" s="0" t="s">
        <v>43</v>
      </c>
      <c r="B45" s="2" t="s">
        <v>44</v>
      </c>
      <c r="C45" s="2" t="s">
        <v>45</v>
      </c>
      <c r="D45" s="2" t="s">
        <v>46</v>
      </c>
      <c r="E45" s="2" t="s">
        <v>47</v>
      </c>
      <c r="F45" s="3" t="s">
        <v>48</v>
      </c>
      <c r="G45" s="3" t="s">
        <v>48</v>
      </c>
      <c r="H45" s="4" t="s">
        <v>49</v>
      </c>
      <c r="I45" s="3" t="s">
        <v>49</v>
      </c>
      <c r="J45" s="5" t="s">
        <v>50</v>
      </c>
      <c r="K45" s="5" t="s">
        <v>50</v>
      </c>
      <c r="L45" s="5" t="s">
        <v>51</v>
      </c>
      <c r="M45" s="5" t="s">
        <v>51</v>
      </c>
      <c r="N45" s="5" t="s">
        <v>80</v>
      </c>
      <c r="O45" s="5" t="s">
        <v>80</v>
      </c>
      <c r="P45" s="5" t="s">
        <v>52</v>
      </c>
      <c r="Q45" s="3" t="s">
        <v>52</v>
      </c>
    </row>
    <row r="46" customFormat="false" ht="13.8" hidden="false" customHeight="false" outlineLevel="0" collapsed="false">
      <c r="A46" s="0" t="s">
        <v>32</v>
      </c>
      <c r="B46" s="0" t="n">
        <v>1</v>
      </c>
      <c r="C46" s="6" t="n">
        <f aca="false">D46</f>
        <v>100</v>
      </c>
      <c r="D46" s="6" t="n">
        <v>100</v>
      </c>
      <c r="E46" s="7" t="n">
        <f aca="false">1/D46</f>
        <v>0.01</v>
      </c>
      <c r="F46" s="0" t="n">
        <f aca="false">IF(F33-$F$55&gt;0,F33-$F$55,0)</f>
        <v>0.5145</v>
      </c>
      <c r="G46" s="0" t="n">
        <f aca="false">IF(G33-$F$55&gt;0,G33-$F$55,0)</f>
        <v>0.4235</v>
      </c>
      <c r="H46" s="0" t="n">
        <f aca="false">IF(H33-$F$55&gt;0,H33-$F$55,0)</f>
        <v>0.3505</v>
      </c>
      <c r="I46" s="0" t="n">
        <f aca="false">IF(I33-$F$55&gt;0,I33-$F$55,0)</f>
        <v>0.4035</v>
      </c>
      <c r="J46" s="0" t="n">
        <f aca="false">IF(J33-$F$55&gt;0,J33-$F$55,0)</f>
        <v>0.2735</v>
      </c>
      <c r="K46" s="0" t="n">
        <f aca="false">IF(K33-$F$55&gt;0,K33-$F$55,0)</f>
        <v>0.2915</v>
      </c>
      <c r="L46" s="0" t="n">
        <f aca="false">IF(L33-$F$55&gt;0,L33-$F$55,0)</f>
        <v>0.5055</v>
      </c>
      <c r="M46" s="0" t="n">
        <f aca="false">IF(M33-$F$55&gt;0,M33-$F$55,0)</f>
        <v>0.5025</v>
      </c>
      <c r="N46" s="0" t="n">
        <f aca="false">IF(N33-$F$55&gt;0,N33-$F$55,0)</f>
        <v>1.6665</v>
      </c>
      <c r="O46" s="0" t="n">
        <f aca="false">IF(O33-$F$55&gt;0,O33-$F$55,0)</f>
        <v>1.7245</v>
      </c>
      <c r="P46" s="0" t="n">
        <f aca="false">IF(P33-$F$55&gt;0,P33-$F$55,0)</f>
        <v>0.1445</v>
      </c>
      <c r="Q46" s="0" t="n">
        <f aca="false">IF(Q33-$F$55&gt;0,Q33-$F$55,0)</f>
        <v>0.1685</v>
      </c>
    </row>
    <row r="47" customFormat="false" ht="13.8" hidden="false" customHeight="false" outlineLevel="0" collapsed="false">
      <c r="A47" s="0" t="s">
        <v>33</v>
      </c>
      <c r="B47" s="0" t="n">
        <f aca="false">35/(105+35)</f>
        <v>0.25</v>
      </c>
      <c r="C47" s="6" t="n">
        <f aca="false">D47</f>
        <v>400</v>
      </c>
      <c r="D47" s="6" t="n">
        <f aca="false">(1/B47)*D46</f>
        <v>400</v>
      </c>
      <c r="E47" s="7" t="n">
        <f aca="false">1/D47</f>
        <v>0.0025</v>
      </c>
      <c r="F47" s="0" t="n">
        <f aca="false">IF(F34-$F$55&gt;0,F34-$F$55,0)</f>
        <v>0.4935</v>
      </c>
      <c r="G47" s="0" t="n">
        <f aca="false">IF(G34-$F$55&gt;0,G34-$F$55,0)</f>
        <v>0.5545</v>
      </c>
      <c r="H47" s="0" t="n">
        <f aca="false">IF(H34-$F$55&gt;0,H34-$F$55,0)</f>
        <v>0.4375</v>
      </c>
      <c r="I47" s="0" t="n">
        <f aca="false">IF(I34-$F$55&gt;0,I34-$F$55,0)</f>
        <v>0.4495</v>
      </c>
      <c r="J47" s="0" t="n">
        <f aca="false">IF(J34-$F$55&gt;0,J34-$F$55,0)</f>
        <v>0.2065</v>
      </c>
      <c r="K47" s="0" t="n">
        <f aca="false">IF(K34-$F$55&gt;0,K34-$F$55,0)</f>
        <v>0.1925</v>
      </c>
      <c r="L47" s="0" t="n">
        <f aca="false">IF(L34-$F$55&gt;0,L34-$F$55,0)</f>
        <v>0.4195</v>
      </c>
      <c r="M47" s="0" t="n">
        <f aca="false">IF(M34-$F$55&gt;0,M34-$F$55,0)</f>
        <v>0.4015</v>
      </c>
      <c r="N47" s="0" t="n">
        <f aca="false">IF(N34-$F$55&gt;0,N34-$F$55,0)</f>
        <v>1.5655</v>
      </c>
      <c r="O47" s="0" t="n">
        <f aca="false">IF(O34-$F$55&gt;0,O34-$F$55,0)</f>
        <v>1.7255</v>
      </c>
      <c r="P47" s="0" t="n">
        <f aca="false">IF(P34-$F$55&gt;0,P34-$F$55,0)</f>
        <v>0.2265</v>
      </c>
      <c r="Q47" s="0" t="n">
        <f aca="false">IF(Q34-$F$55&gt;0,Q34-$F$55,0)</f>
        <v>0.1225</v>
      </c>
    </row>
    <row r="48" customFormat="false" ht="13.8" hidden="false" customHeight="false" outlineLevel="0" collapsed="false">
      <c r="A48" s="0" t="s">
        <v>34</v>
      </c>
      <c r="B48" s="0" t="n">
        <f aca="false">35/(105+35)</f>
        <v>0.25</v>
      </c>
      <c r="C48" s="6" t="n">
        <f aca="false">D48</f>
        <v>1600</v>
      </c>
      <c r="D48" s="6" t="n">
        <f aca="false">(1/B48)*D47</f>
        <v>1600</v>
      </c>
      <c r="E48" s="7" t="n">
        <f aca="false">1/D48</f>
        <v>0.000625</v>
      </c>
      <c r="F48" s="0" t="n">
        <f aca="false">IF(F35-$F$55&gt;0,F35-$F$55,0)</f>
        <v>0.2945</v>
      </c>
      <c r="G48" s="0" t="n">
        <f aca="false">IF(G35-$F$55&gt;0,G35-$F$55,0)</f>
        <v>0.4035</v>
      </c>
      <c r="H48" s="0" t="n">
        <f aca="false">IF(H35-$F$55&gt;0,H35-$F$55,0)</f>
        <v>0.2985</v>
      </c>
      <c r="I48" s="0" t="n">
        <f aca="false">IF(I35-$F$55&gt;0,I35-$F$55,0)</f>
        <v>0.3585</v>
      </c>
      <c r="J48" s="0" t="n">
        <f aca="false">IF(J35-$F$55&gt;0,J35-$F$55,0)</f>
        <v>0.1165</v>
      </c>
      <c r="K48" s="0" t="n">
        <f aca="false">IF(K35-$F$55&gt;0,K35-$F$55,0)</f>
        <v>0.0535</v>
      </c>
      <c r="L48" s="0" t="n">
        <f aca="false">IF(L35-$F$55&gt;0,L35-$F$55,0)</f>
        <v>0.1795</v>
      </c>
      <c r="M48" s="0" t="n">
        <f aca="false">IF(M35-$F$55&gt;0,M35-$F$55,0)</f>
        <v>0.1825</v>
      </c>
      <c r="N48" s="0" t="n">
        <f aca="false">IF(N35-$F$55&gt;0,N35-$F$55,0)</f>
        <v>1.0955</v>
      </c>
      <c r="O48" s="0" t="n">
        <f aca="false">IF(O35-$F$55&gt;0,O35-$F$55,0)</f>
        <v>0.9855</v>
      </c>
      <c r="P48" s="0" t="n">
        <f aca="false">IF(P35-$F$55&gt;0,P35-$F$55,0)</f>
        <v>0.0895</v>
      </c>
      <c r="Q48" s="0" t="n">
        <f aca="false">IF(Q35-$F$55&gt;0,Q35-$F$55,0)</f>
        <v>0.0985</v>
      </c>
    </row>
    <row r="49" customFormat="false" ht="13.8" hidden="false" customHeight="false" outlineLevel="0" collapsed="false">
      <c r="A49" s="0" t="s">
        <v>35</v>
      </c>
      <c r="B49" s="0" t="n">
        <f aca="false">35/(105+35)</f>
        <v>0.25</v>
      </c>
      <c r="C49" s="6" t="n">
        <f aca="false">D49</f>
        <v>6400</v>
      </c>
      <c r="D49" s="6" t="n">
        <f aca="false">(1/B49)*D48</f>
        <v>6400</v>
      </c>
      <c r="E49" s="7" t="n">
        <f aca="false">1/D49</f>
        <v>0.00015625</v>
      </c>
      <c r="F49" s="0" t="n">
        <f aca="false">IF(F36-$F$55&gt;0,F36-$F$55,0)</f>
        <v>0.2955</v>
      </c>
      <c r="G49" s="0" t="n">
        <f aca="false">IF(G36-$F$55&gt;0,G36-$F$55,0)</f>
        <v>0.2125</v>
      </c>
      <c r="H49" s="0" t="n">
        <f aca="false">IF(H36-$F$55&gt;0,H36-$F$55,0)</f>
        <v>0.1925</v>
      </c>
      <c r="I49" s="0" t="n">
        <f aca="false">IF(I36-$F$55&gt;0,I36-$F$55,0)</f>
        <v>0.3325</v>
      </c>
      <c r="J49" s="0" t="n">
        <f aca="false">IF(J36-$F$55&gt;0,J36-$F$55,0)</f>
        <v>0.0105</v>
      </c>
      <c r="K49" s="0" t="n">
        <f aca="false">IF(K36-$F$55&gt;0,K36-$F$55,0)</f>
        <v>0.0335</v>
      </c>
      <c r="L49" s="0" t="n">
        <f aca="false">IF(L36-$F$55&gt;0,L36-$F$55,0)</f>
        <v>0.3365</v>
      </c>
      <c r="M49" s="0" t="n">
        <f aca="false">IF(M36-$F$55&gt;0,M36-$F$55,0)</f>
        <v>0.1035</v>
      </c>
      <c r="N49" s="0" t="n">
        <f aca="false">IF(N36-$F$55&gt;0,N36-$F$55,0)</f>
        <v>0.7265</v>
      </c>
      <c r="O49" s="0" t="n">
        <f aca="false">IF(O36-$F$55&gt;0,O36-$F$55,0)</f>
        <v>0.7715</v>
      </c>
      <c r="P49" s="0" t="n">
        <f aca="false">IF(P36-$F$55&gt;0,P36-$F$55,0)</f>
        <v>0.1065</v>
      </c>
      <c r="Q49" s="0" t="n">
        <f aca="false">IF(Q36-$F$55&gt;0,Q36-$F$55,0)</f>
        <v>0.1215</v>
      </c>
    </row>
    <row r="50" customFormat="false" ht="13.8" hidden="false" customHeight="false" outlineLevel="0" collapsed="false">
      <c r="A50" s="0" t="s">
        <v>36</v>
      </c>
      <c r="B50" s="0" t="n">
        <f aca="false">35/(105+35)</f>
        <v>0.25</v>
      </c>
      <c r="C50" s="6" t="n">
        <f aca="false">D50</f>
        <v>25600</v>
      </c>
      <c r="D50" s="6" t="n">
        <f aca="false">(1/B50)*D49</f>
        <v>25600</v>
      </c>
      <c r="E50" s="7" t="n">
        <f aca="false">1/D50</f>
        <v>3.90625E-005</v>
      </c>
      <c r="F50" s="0" t="n">
        <f aca="false">IF(F37-$F$55&gt;0,F37-$F$55,0)</f>
        <v>0.1815</v>
      </c>
      <c r="G50" s="0" t="n">
        <f aca="false">IF(G37-$F$55&gt;0,G37-$F$55,0)</f>
        <v>0.0705</v>
      </c>
      <c r="H50" s="0" t="n">
        <f aca="false">IF(H37-$F$55&gt;0,H37-$F$55,0)</f>
        <v>0.0655</v>
      </c>
      <c r="I50" s="0" t="n">
        <f aca="false">IF(I37-$F$55&gt;0,I37-$F$55,0)</f>
        <v>0.2625</v>
      </c>
      <c r="J50" s="0" t="n">
        <f aca="false">IF(J37-$F$55&gt;0,J37-$F$55,0)</f>
        <v>0.0425</v>
      </c>
      <c r="K50" s="0" t="n">
        <f aca="false">IF(K37-$F$55&gt;0,K37-$F$55,0)</f>
        <v>0</v>
      </c>
      <c r="L50" s="0" t="n">
        <f aca="false">IF(L37-$F$55&gt;0,L37-$F$55,0)</f>
        <v>0.3245</v>
      </c>
      <c r="M50" s="0" t="n">
        <f aca="false">IF(M37-$F$55&gt;0,M37-$F$55,0)</f>
        <v>0.2945</v>
      </c>
      <c r="N50" s="0" t="n">
        <f aca="false">IF(N37-$F$55&gt;0,N37-$F$55,0)</f>
        <v>0.3185</v>
      </c>
      <c r="O50" s="0" t="n">
        <f aca="false">IF(O37-$F$55&gt;0,O37-$F$55,0)</f>
        <v>0.2905</v>
      </c>
      <c r="P50" s="0" t="n">
        <f aca="false">IF(P37-$F$55&gt;0,P37-$F$55,0)</f>
        <v>0.0725</v>
      </c>
      <c r="Q50" s="0" t="n">
        <f aca="false">IF(Q37-$F$55&gt;0,Q37-$F$55,0)</f>
        <v>0.1275</v>
      </c>
    </row>
    <row r="51" customFormat="false" ht="13.8" hidden="false" customHeight="false" outlineLevel="0" collapsed="false">
      <c r="A51" s="0" t="s">
        <v>37</v>
      </c>
      <c r="B51" s="0" t="n">
        <f aca="false">35/(105+35)</f>
        <v>0.25</v>
      </c>
      <c r="C51" s="6" t="n">
        <f aca="false">D51</f>
        <v>102400</v>
      </c>
      <c r="D51" s="6" t="n">
        <f aca="false">(1/B51)*D50</f>
        <v>102400</v>
      </c>
      <c r="E51" s="7" t="n">
        <f aca="false">1/D51</f>
        <v>9.765625E-006</v>
      </c>
      <c r="F51" s="0" t="n">
        <f aca="false">IF(F38-$F$55&gt;0,F38-$F$55,0)</f>
        <v>0.1195</v>
      </c>
      <c r="G51" s="0" t="n">
        <f aca="false">IF(G38-$F$55&gt;0,G38-$F$55,0)</f>
        <v>0</v>
      </c>
      <c r="H51" s="0" t="n">
        <f aca="false">IF(H38-$F$55&gt;0,H38-$F$55,0)</f>
        <v>0</v>
      </c>
      <c r="I51" s="0" t="n">
        <f aca="false">IF(I38-$F$55&gt;0,I38-$F$55,0)</f>
        <v>0</v>
      </c>
      <c r="J51" s="0" t="n">
        <f aca="false">IF(J38-$F$55&gt;0,J38-$F$55,0)</f>
        <v>0</v>
      </c>
      <c r="K51" s="0" t="n">
        <f aca="false">IF(K38-$F$55&gt;0,K38-$F$55,0)</f>
        <v>0</v>
      </c>
      <c r="L51" s="0" t="n">
        <f aca="false">IF(L38-$F$55&gt;0,L38-$F$55,0)</f>
        <v>0.2725</v>
      </c>
      <c r="M51" s="0" t="n">
        <f aca="false">IF(M38-$F$55&gt;0,M38-$F$55,0)</f>
        <v>0.0695</v>
      </c>
      <c r="N51" s="0" t="n">
        <f aca="false">IF(N38-$F$55&gt;0,N38-$F$55,0)</f>
        <v>0.2355</v>
      </c>
      <c r="O51" s="0" t="n">
        <f aca="false">IF(O38-$F$55&gt;0,O38-$F$55,0)</f>
        <v>0.6895</v>
      </c>
      <c r="P51" s="0" t="n">
        <f aca="false">IF(P38-$F$55&gt;0,P38-$F$55,0)</f>
        <v>0.0705</v>
      </c>
      <c r="Q51" s="0" t="n">
        <f aca="false">IF(Q38-$F$55&gt;0,Q38-$F$55,0)</f>
        <v>0.1795</v>
      </c>
    </row>
    <row r="52" customFormat="false" ht="13.8" hidden="false" customHeight="false" outlineLevel="0" collapsed="false">
      <c r="A52" s="0" t="s">
        <v>38</v>
      </c>
      <c r="B52" s="0" t="n">
        <f aca="false">35/(105+35)</f>
        <v>0.25</v>
      </c>
      <c r="C52" s="6" t="n">
        <f aca="false">D52</f>
        <v>409600</v>
      </c>
      <c r="D52" s="6" t="n">
        <f aca="false">(1/B52)*D51</f>
        <v>409600</v>
      </c>
      <c r="E52" s="7" t="n">
        <f aca="false">1/D52</f>
        <v>2.44140625E-006</v>
      </c>
      <c r="F52" s="0" t="n">
        <f aca="false">IF(F39-$F$55&gt;0,F39-$F$55,0)</f>
        <v>0.0795</v>
      </c>
      <c r="G52" s="0" t="n">
        <f aca="false">IF(G39-$F$55&gt;0,G39-$F$55,0)</f>
        <v>0.00949999999999998</v>
      </c>
      <c r="H52" s="0" t="n">
        <f aca="false">IF(H39-$F$55&gt;0,H39-$F$55,0)</f>
        <v>0</v>
      </c>
      <c r="I52" s="0" t="n">
        <f aca="false">IF(I39-$F$55&gt;0,I39-$F$55,0)</f>
        <v>0</v>
      </c>
      <c r="J52" s="0" t="n">
        <f aca="false">IF(J39-$F$55&gt;0,J39-$F$55,0)</f>
        <v>0</v>
      </c>
      <c r="K52" s="0" t="n">
        <f aca="false">IF(K39-$F$55&gt;0,K39-$F$55,0)</f>
        <v>0</v>
      </c>
      <c r="L52" s="0" t="n">
        <f aca="false">IF(L39-$F$55&gt;0,L39-$F$55,0)</f>
        <v>0</v>
      </c>
      <c r="M52" s="0" t="n">
        <f aca="false">IF(M39-$F$55&gt;0,M39-$F$55,0)</f>
        <v>0</v>
      </c>
      <c r="N52" s="0" t="n">
        <f aca="false">IF(N39-$F$55&gt;0,N39-$F$55,0)</f>
        <v>0.2705</v>
      </c>
      <c r="O52" s="0" t="n">
        <f aca="false">IF(O39-$F$55&gt;0,O39-$F$55,0)</f>
        <v>0.3085</v>
      </c>
      <c r="P52" s="0" t="n">
        <f aca="false">IF(P39-$F$55&gt;0,P39-$F$55,0)</f>
        <v>0.1335</v>
      </c>
      <c r="Q52" s="0" t="n">
        <f aca="false">IF(Q39-$F$55&gt;0,Q39-$F$55,0)</f>
        <v>0.2795</v>
      </c>
    </row>
    <row r="53" customFormat="false" ht="13.8" hidden="false" customHeight="false" outlineLevel="0" collapsed="false">
      <c r="A53" s="0" t="s">
        <v>39</v>
      </c>
      <c r="B53" s="0" t="n">
        <f aca="false">35/(105+35)</f>
        <v>0.25</v>
      </c>
      <c r="C53" s="6" t="n">
        <f aca="false">D53</f>
        <v>1638400</v>
      </c>
      <c r="D53" s="6" t="n">
        <f aca="false">(1/B53)*D52</f>
        <v>1638400</v>
      </c>
      <c r="E53" s="7" t="n">
        <f aca="false">1/D53</f>
        <v>6.103515625E-007</v>
      </c>
      <c r="F53" s="0" t="n">
        <f aca="false">IF(F40-$F$55&gt;0,F40-$F$55,0)</f>
        <v>0.1075</v>
      </c>
      <c r="G53" s="0" t="n">
        <f aca="false">IF(G40-$F$55&gt;0,G40-$F$55,0)</f>
        <v>0.1135</v>
      </c>
      <c r="H53" s="0" t="n">
        <f aca="false">IF(H40-$F$55&gt;0,H40-$F$55,0)</f>
        <v>0.0835</v>
      </c>
      <c r="I53" s="0" t="n">
        <f aca="false">IF(I40-$F$55&gt;0,I40-$F$55,0)</f>
        <v>0.0525</v>
      </c>
      <c r="J53" s="0" t="n">
        <f aca="false">IF(J40-$F$55&gt;0,J40-$F$55,0)</f>
        <v>0</v>
      </c>
      <c r="K53" s="0" t="n">
        <f aca="false">IF(K40-$F$55&gt;0,K40-$F$55,0)</f>
        <v>0.0155</v>
      </c>
      <c r="L53" s="0" t="n">
        <f aca="false">IF(L40-$F$55&gt;0,L40-$F$55,0)</f>
        <v>0.0015</v>
      </c>
      <c r="M53" s="0" t="n">
        <f aca="false">IF(M40-$F$55&gt;0,M40-$F$55,0)</f>
        <v>0.0025</v>
      </c>
      <c r="N53" s="0" t="n">
        <f aca="false">IF(N40-$F$55&gt;0,N40-$F$55,0)</f>
        <v>0.2105</v>
      </c>
      <c r="O53" s="0" t="n">
        <f aca="false">IF(O40-$F$55&gt;0,O40-$F$55,0)</f>
        <v>0.2405</v>
      </c>
      <c r="P53" s="8"/>
      <c r="Q53" s="9"/>
    </row>
    <row r="54" customFormat="false" ht="13.8" hidden="false" customHeight="false" outlineLevel="0" collapsed="false">
      <c r="C54" s="0" t="n">
        <f aca="false">D48*3.6</f>
        <v>5760</v>
      </c>
      <c r="D54" s="0" t="n">
        <f aca="false">(1/B48*2.3)*D47</f>
        <v>3680</v>
      </c>
    </row>
    <row r="55" customFormat="false" ht="13.8" hidden="false" customHeight="false" outlineLevel="0" collapsed="false">
      <c r="D55" s="10" t="n">
        <f aca="false">D49*2.2</f>
        <v>14080</v>
      </c>
      <c r="E55" s="10"/>
      <c r="F55" s="11" t="n">
        <f aca="false">AVERAGE(P40:Q40)</f>
        <v>0.1355</v>
      </c>
      <c r="G55" s="12" t="s">
        <v>54</v>
      </c>
      <c r="H55" s="13"/>
      <c r="I55" s="13"/>
      <c r="J55" s="13"/>
      <c r="K55" s="13"/>
      <c r="L55" s="13"/>
      <c r="M55" s="14"/>
      <c r="N55" s="15"/>
      <c r="O55" s="10"/>
      <c r="P55" s="10"/>
      <c r="Q55" s="13"/>
      <c r="R55" s="13"/>
    </row>
    <row r="57" s="16" customFormat="true" ht="23.85" hidden="false" customHeight="false" outlineLevel="0" collapsed="false">
      <c r="A57" s="0"/>
      <c r="B57" s="0"/>
      <c r="C57" s="0"/>
      <c r="F57" s="17" t="s">
        <v>55</v>
      </c>
      <c r="G57" s="18" t="s">
        <v>56</v>
      </c>
      <c r="H57" s="17" t="s">
        <v>57</v>
      </c>
      <c r="I57" s="18" t="s">
        <v>58</v>
      </c>
      <c r="J57" s="17" t="s">
        <v>59</v>
      </c>
      <c r="K57" s="18" t="s">
        <v>60</v>
      </c>
      <c r="L57" s="17" t="s">
        <v>61</v>
      </c>
      <c r="M57" s="18" t="s">
        <v>62</v>
      </c>
      <c r="N57" s="17" t="s">
        <v>63</v>
      </c>
      <c r="O57" s="18" t="s">
        <v>64</v>
      </c>
      <c r="P57" s="17" t="s">
        <v>65</v>
      </c>
      <c r="Q57" s="18" t="s">
        <v>66</v>
      </c>
    </row>
    <row r="58" customFormat="false" ht="13.8" hidden="false" customHeight="false" outlineLevel="0" collapsed="false">
      <c r="F58" s="19" t="n">
        <f aca="false">AVERAGE(F46:G46)</f>
        <v>0.469</v>
      </c>
      <c r="G58" s="20" t="n">
        <f aca="false">((F$70-F$73)/(1+($E46/F$72)^F$71))+F$73</f>
        <v>0.509586935694611</v>
      </c>
      <c r="H58" s="19" t="n">
        <f aca="false">AVERAGE(H46:I46)</f>
        <v>0.377</v>
      </c>
      <c r="I58" s="20" t="n">
        <f aca="false">((H$70-H$73)/(1+($E46/H$72)^H$71))+H$73</f>
        <v>0.436580662795749</v>
      </c>
      <c r="J58" s="19" t="n">
        <f aca="false">AVERAGE(J46:K46)</f>
        <v>0.2825</v>
      </c>
      <c r="K58" s="20" t="n">
        <f aca="false">((J$70-J$73)/(1+($E46/J$72)^J$71))+J$73</f>
        <v>0.271225372969174</v>
      </c>
      <c r="L58" s="19" t="n">
        <f aca="false">AVERAGE(L46:M46)</f>
        <v>0.504</v>
      </c>
      <c r="M58" s="20" t="n">
        <f aca="false">((L$70-L$73)/(1+($E46/L$72)^L$71))+L$73</f>
        <v>0.502695564225147</v>
      </c>
      <c r="N58" s="19" t="n">
        <f aca="false">AVERAGE(N46:O46)</f>
        <v>1.6955</v>
      </c>
      <c r="O58" s="20" t="n">
        <f aca="false">((N$70-N$73)/(1+($E46/N$72)^N$71))+N$73</f>
        <v>1.63896153846154</v>
      </c>
      <c r="P58" s="19" t="n">
        <f aca="false">AVERAGE(P46:Q46)</f>
        <v>0.1565</v>
      </c>
      <c r="Q58" s="20" t="n">
        <f aca="false">((P$70-P$73)/(1+($E46/P$72)^P$71))+P$73</f>
        <v>0.202403846153846</v>
      </c>
    </row>
    <row r="59" customFormat="false" ht="13.8" hidden="false" customHeight="false" outlineLevel="0" collapsed="false">
      <c r="F59" s="19" t="n">
        <f aca="false">AVERAGE(F47:G47)</f>
        <v>0.524</v>
      </c>
      <c r="G59" s="20" t="n">
        <f aca="false">((F$70-F$73)/(1+($E47/F$72)^F$71))+F$73</f>
        <v>0.477151239163942</v>
      </c>
      <c r="H59" s="19" t="n">
        <f aca="false">AVERAGE(H47:I47)</f>
        <v>0.4435</v>
      </c>
      <c r="I59" s="20" t="n">
        <f aca="false">((H$70-H$73)/(1+($E47/H$72)^H$71))+H$73</f>
        <v>0.420303776509052</v>
      </c>
      <c r="J59" s="19" t="n">
        <f aca="false">AVERAGE(J47:K47)</f>
        <v>0.1995</v>
      </c>
      <c r="K59" s="20" t="n">
        <f aca="false">((J$70-J$73)/(1+($E47/J$72)^J$71))+J$73</f>
        <v>0.211998952333984</v>
      </c>
      <c r="L59" s="19" t="n">
        <f aca="false">AVERAGE(L47:M47)</f>
        <v>0.4105</v>
      </c>
      <c r="M59" s="20" t="n">
        <f aca="false">((L$70-L$73)/(1+($E47/L$72)^L$71))+L$73</f>
        <v>0.497190542764399</v>
      </c>
      <c r="N59" s="19" t="n">
        <f aca="false">AVERAGE(N47:O47)</f>
        <v>1.6455</v>
      </c>
      <c r="O59" s="20" t="n">
        <f aca="false">((N$70-N$73)/(1+($E47/N$72)^N$71))+N$73</f>
        <v>1.49274137931035</v>
      </c>
      <c r="P59" s="19" t="n">
        <f aca="false">AVERAGE(P47:Q47)</f>
        <v>0.1745</v>
      </c>
      <c r="Q59" s="20" t="n">
        <f aca="false">((P$70-P$73)/(1+($E47/P$72)^P$71))+P$73</f>
        <v>0.164939024390244</v>
      </c>
    </row>
    <row r="60" customFormat="false" ht="13.8" hidden="false" customHeight="false" outlineLevel="0" collapsed="false">
      <c r="F60" s="19" t="n">
        <f aca="false">AVERAGE(F48:G48)</f>
        <v>0.349</v>
      </c>
      <c r="G60" s="20" t="n">
        <f aca="false">((F$70-F$73)/(1+($E48/F$72)^F$71))+F$73</f>
        <v>0.391558456645349</v>
      </c>
      <c r="H60" s="19" t="n">
        <f aca="false">AVERAGE(H48:I48)</f>
        <v>0.3285</v>
      </c>
      <c r="I60" s="20" t="n">
        <f aca="false">((H$70-H$73)/(1+($E48/H$72)^H$71))+H$73</f>
        <v>0.372007611006823</v>
      </c>
      <c r="J60" s="19" t="n">
        <f aca="false">AVERAGE(J48:K48)</f>
        <v>0.085</v>
      </c>
      <c r="K60" s="20" t="n">
        <f aca="false">((J$70-J$73)/(1+($E48/J$72)^J$71))+J$73</f>
        <v>0.0771767242865099</v>
      </c>
      <c r="L60" s="19" t="n">
        <f aca="false">AVERAGE(L48:M48)</f>
        <v>0.181</v>
      </c>
      <c r="M60" s="20" t="n">
        <f aca="false">((L$70-L$73)/(1+($E48/L$72)^L$71))+L$73</f>
        <v>0.470023313208647</v>
      </c>
      <c r="N60" s="19" t="n">
        <f aca="false">AVERAGE(N48:O48)</f>
        <v>1.0405</v>
      </c>
      <c r="O60" s="20" t="n">
        <f aca="false">((N$70-N$73)/(1+($E48/N$72)^N$71))+N$73</f>
        <v>1.12184146341463</v>
      </c>
      <c r="P60" s="19" t="n">
        <f aca="false">AVERAGE(P48:Q48)</f>
        <v>0.094</v>
      </c>
      <c r="Q60" s="20" t="n">
        <f aca="false">((P$70-P$73)/(1+($E48/P$72)^P$71))+P$73</f>
        <v>0.109475088967972</v>
      </c>
    </row>
    <row r="61" customFormat="false" ht="13.8" hidden="false" customHeight="false" outlineLevel="0" collapsed="false">
      <c r="F61" s="19" t="n">
        <f aca="false">AVERAGE(F49:G49)</f>
        <v>0.254</v>
      </c>
      <c r="G61" s="20" t="n">
        <f aca="false">((F$70-F$73)/(1+($E49/F$72)^F$71))+F$73</f>
        <v>0.245370114405635</v>
      </c>
      <c r="H61" s="19" t="n">
        <f aca="false">AVERAGE(H49:I49)</f>
        <v>0.2625</v>
      </c>
      <c r="I61" s="20" t="n">
        <f aca="false">((H$70-H$73)/(1+($E49/H$72)^H$71))+H$73</f>
        <v>0.265694659364186</v>
      </c>
      <c r="J61" s="19" t="n">
        <f aca="false">AVERAGE(J49:K49)</f>
        <v>0.022</v>
      </c>
      <c r="K61" s="20" t="n">
        <f aca="false">((J$70-J$73)/(1+($E49/J$72)^J$71))+J$73</f>
        <v>0.0126775756301537</v>
      </c>
      <c r="L61" s="19" t="n">
        <f aca="false">AVERAGE(L49:M49)</f>
        <v>0.22</v>
      </c>
      <c r="M61" s="20" t="n">
        <f aca="false">((L$70-L$73)/(1+($E49/L$72)^L$71))+L$73</f>
        <v>0.364811782460051</v>
      </c>
      <c r="N61" s="19" t="n">
        <f aca="false">AVERAGE(N49:O49)</f>
        <v>0.749</v>
      </c>
      <c r="O61" s="20" t="n">
        <f aca="false">((N$70-N$73)/(1+($E49/N$72)^N$71))+N$73</f>
        <v>0.638421348314607</v>
      </c>
      <c r="P61" s="19" t="n">
        <f aca="false">AVERAGE(P49:Q49)</f>
        <v>0.114</v>
      </c>
      <c r="Q61" s="20" t="n">
        <f aca="false">((P$70-P$73)/(1+($E49/P$72)^P$71))+P$73</f>
        <v>0.100646081048289</v>
      </c>
    </row>
    <row r="62" customFormat="false" ht="13.8" hidden="false" customHeight="false" outlineLevel="0" collapsed="false">
      <c r="F62" s="19" t="n">
        <f aca="false">AVERAGE(F50:G50)</f>
        <v>0.126</v>
      </c>
      <c r="G62" s="20" t="n">
        <f aca="false">((F$70-F$73)/(1+($E50/F$72)^F$71))+F$73</f>
        <v>0.116060735975524</v>
      </c>
      <c r="H62" s="19" t="n">
        <f aca="false">AVERAGE(H50:I50)</f>
        <v>0.164</v>
      </c>
      <c r="I62" s="20" t="n">
        <f aca="false">((H$70-H$73)/(1+($E50/H$72)^H$71))+H$73</f>
        <v>0.133170298861854</v>
      </c>
      <c r="J62" s="19" t="n">
        <f aca="false">AVERAGE(J50:K50)</f>
        <v>0.02125</v>
      </c>
      <c r="K62" s="20" t="n">
        <f aca="false">((J$70-J$73)/(1+($E50/J$72)^J$71))+J$73</f>
        <v>0.00164946626034181</v>
      </c>
      <c r="L62" s="19" t="n">
        <f aca="false">AVERAGE(L50:M50)</f>
        <v>0.3095</v>
      </c>
      <c r="M62" s="20" t="n">
        <f aca="false">((L$70-L$73)/(1+($E50/L$72)^L$71))+L$73</f>
        <v>0.167233499437545</v>
      </c>
      <c r="N62" s="19" t="n">
        <f aca="false">AVERAGE(N50:O50)</f>
        <v>0.3045</v>
      </c>
      <c r="O62" s="20" t="n">
        <f aca="false">((N$70-N$73)/(1+($E50/N$72)^N$71))+N$73</f>
        <v>0.356282918149466</v>
      </c>
      <c r="P62" s="19" t="n">
        <f aca="false">AVERAGE(P50:Q50)</f>
        <v>0.1</v>
      </c>
      <c r="Q62" s="20" t="n">
        <f aca="false">((P$70-P$73)/(1+($E50/P$72)^P$71))+P$73</f>
        <v>0.100040611033999</v>
      </c>
    </row>
    <row r="63" customFormat="false" ht="13.8" hidden="false" customHeight="false" outlineLevel="0" collapsed="false">
      <c r="F63" s="19" t="n">
        <f aca="false">AVERAGE(F51:G51)</f>
        <v>0.05975</v>
      </c>
      <c r="G63" s="20" t="n">
        <f aca="false">((F$70-F$73)/(1+($E51/F$72)^F$71))+F$73</f>
        <v>0.0533325880519872</v>
      </c>
      <c r="H63" s="19" t="n">
        <f aca="false">AVERAGE(H51:I51)</f>
        <v>0</v>
      </c>
      <c r="I63" s="20" t="n">
        <f aca="false">((H$70-H$73)/(1+($E51/H$72)^H$71))+H$73</f>
        <v>0.048657913024785</v>
      </c>
      <c r="J63" s="19" t="n">
        <f aca="false">AVERAGE(J51:K51)</f>
        <v>0</v>
      </c>
      <c r="K63" s="20" t="n">
        <f aca="false">((J$70-J$73)/(1+($E51/J$72)^J$71))+J$73</f>
        <v>0.000207242075320048</v>
      </c>
      <c r="L63" s="19" t="n">
        <f aca="false">AVERAGE(L51:M51)</f>
        <v>0.171</v>
      </c>
      <c r="M63" s="20" t="n">
        <f aca="false">((L$70-L$73)/(1+($E51/L$72)^L$71))+L$73</f>
        <v>0.0433412770191061</v>
      </c>
      <c r="N63" s="19" t="n">
        <f aca="false">AVERAGE(N51:O51)</f>
        <v>0.4625</v>
      </c>
      <c r="O63" s="20" t="n">
        <f aca="false">((N$70-N$73)/(1+($E51/N$72)^N$71))+N$73</f>
        <v>0.260533365109628</v>
      </c>
      <c r="P63" s="19" t="n">
        <f aca="false">AVERAGE(P51:Q51)</f>
        <v>0.125</v>
      </c>
      <c r="Q63" s="20" t="n">
        <f aca="false">((P$70-P$73)/(1+($E51/P$72)^P$71))+P$73</f>
        <v>0.100002539097331</v>
      </c>
    </row>
    <row r="64" customFormat="false" ht="13.8" hidden="false" customHeight="false" outlineLevel="0" collapsed="false">
      <c r="F64" s="19" t="n">
        <f aca="false">AVERAGE(F52:G52)</f>
        <v>0.0445</v>
      </c>
      <c r="G64" s="20" t="n">
        <f aca="false">((F$70-F$73)/(1+($E52/F$72)^F$71))+F$73</f>
        <v>0.0315885024203949</v>
      </c>
      <c r="H64" s="19" t="n">
        <f aca="false">AVERAGE(H52:I52)</f>
        <v>0</v>
      </c>
      <c r="I64" s="20" t="n">
        <f aca="false">((H$70-H$73)/(1+($E52/H$72)^H$71))+H$73</f>
        <v>0.0151588361652096</v>
      </c>
      <c r="J64" s="19" t="n">
        <f aca="false">AVERAGE(J52:K52)</f>
        <v>0</v>
      </c>
      <c r="K64" s="20" t="n">
        <f aca="false">((J$70-J$73)/(1+($E52/J$72)^J$71))+J$73</f>
        <v>2.59218986878211E-005</v>
      </c>
      <c r="L64" s="19" t="n">
        <f aca="false">AVERAGE(L52:M52)</f>
        <v>0</v>
      </c>
      <c r="M64" s="20" t="n">
        <f aca="false">((L$70-L$73)/(1+($E52/L$72)^L$71))+L$73</f>
        <v>0.0088268850590214</v>
      </c>
      <c r="N64" s="19" t="n">
        <f aca="false">AVERAGE(N52:O52)</f>
        <v>0.2895</v>
      </c>
      <c r="O64" s="20" t="n">
        <f aca="false">((N$70-N$73)/(1+($E52/N$72)^N$71))+N$73</f>
        <v>0.234417738413007</v>
      </c>
      <c r="P64" s="19" t="n">
        <f aca="false">AVERAGE(P52:Q52)</f>
        <v>0.2065</v>
      </c>
      <c r="Q64" s="20" t="n">
        <f aca="false">((P$70-P$73)/(1+($E52/P$72)^P$71))+P$73</f>
        <v>0.10000015869713</v>
      </c>
    </row>
    <row r="65" customFormat="false" ht="13.8" hidden="false" customHeight="false" outlineLevel="0" collapsed="false">
      <c r="F65" s="19" t="n">
        <f aca="false">AVERAGE(F53:G53)</f>
        <v>0.1105</v>
      </c>
      <c r="G65" s="20" t="n">
        <f aca="false">((F$70-F$73)/(1+($E53/F$72)^F$71))+F$73</f>
        <v>0.024967838175991</v>
      </c>
      <c r="H65" s="19" t="n">
        <f aca="false">AVERAGE(H53:I53)</f>
        <v>0.068</v>
      </c>
      <c r="I65" s="20" t="n">
        <f aca="false">((H$70-H$73)/(1+($E53/H$72)^H$71))+H$73</f>
        <v>0.00446194507808496</v>
      </c>
      <c r="J65" s="19" t="n">
        <f aca="false">AVERAGE(J53:K53)</f>
        <v>0.00774999999999999</v>
      </c>
      <c r="K65" s="20" t="n">
        <f aca="false">((J$70-J$73)/(1+($E53/J$72)^J$71))+J$73</f>
        <v>3.24049751249866E-006</v>
      </c>
      <c r="L65" s="19" t="n">
        <f aca="false">AVERAGE(L53:M53)</f>
        <v>0.002</v>
      </c>
      <c r="M65" s="20" t="n">
        <f aca="false">((L$70-L$73)/(1+($E53/L$72)^L$71))+L$73</f>
        <v>0.00169646404733475</v>
      </c>
      <c r="N65" s="19" t="n">
        <f aca="false">AVERAGE(N53:O53)</f>
        <v>0.2255</v>
      </c>
      <c r="O65" s="20" t="n">
        <f aca="false">((N$70-N$73)/(1+($E53/N$72)^N$71))+N$73</f>
        <v>0.227739624596258</v>
      </c>
      <c r="P65" s="19"/>
      <c r="Q65" s="20"/>
    </row>
    <row r="66" customFormat="false" ht="13.8" hidden="false" customHeight="false" outlineLevel="0" collapsed="false">
      <c r="F66" s="19"/>
      <c r="G66" s="20"/>
      <c r="H66" s="19"/>
      <c r="I66" s="20"/>
      <c r="J66" s="19"/>
      <c r="K66" s="20"/>
      <c r="L66" s="19"/>
      <c r="M66" s="20"/>
      <c r="N66" s="19"/>
      <c r="O66" s="20"/>
      <c r="P66" s="19"/>
      <c r="Q66" s="20"/>
    </row>
    <row r="67" customFormat="false" ht="13.8" hidden="false" customHeight="false" outlineLevel="0" collapsed="false">
      <c r="E67" s="0" t="s">
        <v>67</v>
      </c>
      <c r="F67" s="19" t="n">
        <v>0.12</v>
      </c>
      <c r="G67" s="21" t="n">
        <f aca="false">1/(F$72*((((F$70-F$73)/(F$67-F$73))-1)^(1/F$71)))</f>
        <v>24194.0429740251</v>
      </c>
      <c r="H67" s="19" t="n">
        <v>0.12</v>
      </c>
      <c r="I67" s="21" t="n">
        <f aca="false">1/(H$72*((((H$70-H$73)/(H$67-H$73))-1)^(1/H$71)))</f>
        <v>30098.7057369972</v>
      </c>
      <c r="J67" s="19" t="n">
        <v>0.12</v>
      </c>
      <c r="K67" s="21" t="n">
        <f aca="false">1/(J$72*((((J$70-J$73)/(J$67-J$73))-1)^(1/J$71)))</f>
        <v>1019.99998833973</v>
      </c>
      <c r="L67" s="19" t="n">
        <v>0.12</v>
      </c>
      <c r="M67" s="21" t="n">
        <f aca="false">1/(L$72*((((L$70-L$73)/(L$67-L$73))-1)^(1/L$71)))</f>
        <v>37658.2622272472</v>
      </c>
      <c r="N67" s="19"/>
      <c r="O67" s="20"/>
      <c r="P67" s="19" t="n">
        <v>0.11</v>
      </c>
      <c r="Q67" s="21" t="n">
        <f aca="false">1/(P$72*((((P$70-P$73)/(P$67-P$73))-1)^(1/P$71)))</f>
        <v>1553.22245670091</v>
      </c>
    </row>
    <row r="68" customFormat="false" ht="13.8" hidden="false" customHeight="false" outlineLevel="0" collapsed="false">
      <c r="E68" s="0" t="s">
        <v>68</v>
      </c>
      <c r="F68" s="19"/>
      <c r="G68" s="22" t="n">
        <f aca="false">G67/$Q$67</f>
        <v>15.576676006484</v>
      </c>
      <c r="H68" s="19"/>
      <c r="I68" s="22" t="n">
        <f aca="false">I67/$Q$67</f>
        <v>19.378232401383</v>
      </c>
      <c r="J68" s="19"/>
      <c r="K68" s="22" t="n">
        <f aca="false">K67/$Q$67</f>
        <v>0.656699228072096</v>
      </c>
      <c r="L68" s="19"/>
      <c r="M68" s="22" t="n">
        <f aca="false">M67/$Q$67</f>
        <v>24.245247076349</v>
      </c>
      <c r="N68" s="19"/>
      <c r="O68" s="21"/>
      <c r="P68" s="19"/>
      <c r="Q68" s="21"/>
    </row>
    <row r="69" s="16" customFormat="true" ht="23.85" hidden="false" customHeight="false" outlineLevel="0" collapsed="false">
      <c r="A69" s="0"/>
      <c r="D69" s="23" t="s">
        <v>69</v>
      </c>
      <c r="F69" s="24"/>
      <c r="G69" s="25" t="s">
        <v>70</v>
      </c>
      <c r="H69" s="24"/>
      <c r="I69" s="25" t="s">
        <v>70</v>
      </c>
      <c r="J69" s="24"/>
      <c r="K69" s="25" t="s">
        <v>70</v>
      </c>
      <c r="L69" s="24"/>
      <c r="M69" s="25" t="s">
        <v>70</v>
      </c>
      <c r="N69" s="24"/>
      <c r="O69" s="25" t="s">
        <v>70</v>
      </c>
      <c r="P69" s="24"/>
      <c r="Q69" s="25" t="s">
        <v>70</v>
      </c>
    </row>
    <row r="70" customFormat="false" ht="13.8" hidden="false" customHeight="false" outlineLevel="0" collapsed="false">
      <c r="B70" s="0" t="s">
        <v>71</v>
      </c>
      <c r="D70" s="0" t="s">
        <v>72</v>
      </c>
      <c r="F70" s="0" t="n">
        <f aca="false">G70</f>
        <v>0.524</v>
      </c>
      <c r="G70" s="20" t="n">
        <f aca="false">MAX(F58:F65)</f>
        <v>0.524</v>
      </c>
      <c r="H70" s="0" t="n">
        <f aca="false">I70</f>
        <v>0.4435</v>
      </c>
      <c r="I70" s="20" t="n">
        <f aca="false">MAX(H58:H65)</f>
        <v>0.4435</v>
      </c>
      <c r="J70" s="0" t="n">
        <f aca="false">K70</f>
        <v>0.2825</v>
      </c>
      <c r="K70" s="20" t="n">
        <f aca="false">MAX(J58:J65)</f>
        <v>0.2825</v>
      </c>
      <c r="L70" s="0" t="n">
        <f aca="false">M70</f>
        <v>0.504</v>
      </c>
      <c r="M70" s="20" t="n">
        <f aca="false">MAX(L58:L65)</f>
        <v>0.504</v>
      </c>
      <c r="N70" s="0" t="n">
        <f aca="false">O70</f>
        <v>1.6955</v>
      </c>
      <c r="O70" s="20" t="n">
        <f aca="false">MAX(N58:N65)</f>
        <v>1.6955</v>
      </c>
      <c r="P70" s="0" t="n">
        <f aca="false">Q70</f>
        <v>0.2065</v>
      </c>
      <c r="Q70" s="20" t="n">
        <f aca="false">MAX(P58:P65)</f>
        <v>0.2065</v>
      </c>
    </row>
    <row r="71" customFormat="false" ht="13.8" hidden="false" customHeight="false" outlineLevel="0" collapsed="false">
      <c r="B71" s="0" t="s">
        <v>73</v>
      </c>
      <c r="D71" s="0" t="s">
        <v>74</v>
      </c>
      <c r="F71" s="0" t="n">
        <v>-0.9</v>
      </c>
      <c r="G71" s="0" t="n">
        <v>-2</v>
      </c>
      <c r="H71" s="0" t="n">
        <v>-0.9</v>
      </c>
      <c r="I71" s="0" t="n">
        <v>-2</v>
      </c>
      <c r="J71" s="0" t="n">
        <v>-1.5</v>
      </c>
      <c r="K71" s="0" t="n">
        <v>-2</v>
      </c>
      <c r="L71" s="0" t="n">
        <v>-1.2</v>
      </c>
      <c r="M71" s="0" t="n">
        <v>-2</v>
      </c>
      <c r="N71" s="0" t="n">
        <v>-1</v>
      </c>
      <c r="O71" s="0" t="n">
        <v>-2</v>
      </c>
      <c r="P71" s="0" t="n">
        <v>-2</v>
      </c>
      <c r="Q71" s="0" t="n">
        <v>-2</v>
      </c>
    </row>
    <row r="72" customFormat="false" ht="13.8" hidden="false" customHeight="false" outlineLevel="0" collapsed="false">
      <c r="D72" s="0" t="s">
        <v>75</v>
      </c>
      <c r="F72" s="0" t="n">
        <v>0.0002</v>
      </c>
      <c r="G72" s="0" t="n">
        <v>0.002</v>
      </c>
      <c r="H72" s="0" t="n">
        <v>0.0001</v>
      </c>
      <c r="I72" s="0" t="n">
        <v>0.002</v>
      </c>
      <c r="J72" s="0" t="n">
        <v>0.0012</v>
      </c>
      <c r="K72" s="0" t="n">
        <v>0.002</v>
      </c>
      <c r="L72" s="0" t="n">
        <v>7E-005</v>
      </c>
      <c r="M72" s="0" t="n">
        <v>0.002</v>
      </c>
      <c r="N72" s="0" t="n">
        <v>0.0004</v>
      </c>
      <c r="O72" s="0" t="n">
        <v>0.002</v>
      </c>
      <c r="P72" s="0" t="n">
        <v>0.002</v>
      </c>
      <c r="Q72" s="0" t="n">
        <v>0.002</v>
      </c>
    </row>
    <row r="73" customFormat="false" ht="13.8" hidden="false" customHeight="false" outlineLevel="0" collapsed="false">
      <c r="B73" s="0" t="s">
        <v>76</v>
      </c>
      <c r="D73" s="0" t="s">
        <v>77</v>
      </c>
      <c r="F73" s="0" t="n">
        <f aca="false">G73/2</f>
        <v>0.02225</v>
      </c>
      <c r="G73" s="20" t="n">
        <f aca="false">MIN(F58:F65)</f>
        <v>0.0445</v>
      </c>
      <c r="H73" s="0" t="n">
        <f aca="false">I73/5</f>
        <v>0</v>
      </c>
      <c r="I73" s="20" t="n">
        <f aca="false">MIN(H58:H65)</f>
        <v>0</v>
      </c>
      <c r="J73" s="0" t="n">
        <f aca="false">K73/2</f>
        <v>0</v>
      </c>
      <c r="K73" s="20" t="n">
        <f aca="false">MIN(J58:J65)</f>
        <v>0</v>
      </c>
      <c r="L73" s="0" t="n">
        <f aca="false">M73/3</f>
        <v>0</v>
      </c>
      <c r="M73" s="20" t="n">
        <f aca="false">MIN(L58:L65)</f>
        <v>0</v>
      </c>
      <c r="N73" s="0" t="n">
        <f aca="false">O73</f>
        <v>0.2255</v>
      </c>
      <c r="O73" s="20" t="n">
        <f aca="false">MIN(N58:N65)</f>
        <v>0.2255</v>
      </c>
      <c r="P73" s="0" t="n">
        <v>0.1</v>
      </c>
      <c r="Q73" s="20" t="n">
        <f aca="false">MIN(P58:P65)</f>
        <v>0.094</v>
      </c>
    </row>
    <row r="74" customFormat="false" ht="13.8" hidden="false" customHeight="false" outlineLevel="0" collapsed="false">
      <c r="F74" s="19"/>
      <c r="G74" s="20"/>
      <c r="H74" s="19"/>
      <c r="I74" s="20"/>
      <c r="J74" s="19"/>
      <c r="K74" s="20"/>
      <c r="L74" s="19"/>
      <c r="M74" s="20"/>
      <c r="N74" s="19"/>
      <c r="O74" s="20"/>
      <c r="P74" s="19"/>
      <c r="Q74" s="20"/>
    </row>
    <row r="75" customFormat="false" ht="13.8" hidden="false" customHeight="false" outlineLevel="0" collapsed="false">
      <c r="F75" s="19"/>
      <c r="G75" s="20"/>
      <c r="H75" s="19"/>
      <c r="I75" s="20"/>
      <c r="J75" s="19"/>
      <c r="K75" s="20"/>
      <c r="L75" s="19"/>
      <c r="M75" s="20"/>
      <c r="N75" s="19"/>
      <c r="O75" s="20"/>
      <c r="P75" s="19"/>
      <c r="Q75" s="20"/>
    </row>
    <row r="76" customFormat="false" ht="13.8" hidden="false" customHeight="false" outlineLevel="0" collapsed="false">
      <c r="F76" s="19"/>
      <c r="G76" s="20"/>
      <c r="H76" s="19"/>
      <c r="I76" s="20"/>
      <c r="J76" s="19"/>
      <c r="K76" s="20"/>
      <c r="L76" s="19"/>
      <c r="M76" s="20"/>
      <c r="N76" s="19"/>
      <c r="O76" s="20"/>
      <c r="P76" s="19"/>
      <c r="Q76" s="20"/>
    </row>
    <row r="77" customFormat="false" ht="13.8" hidden="false" customHeight="false" outlineLevel="0" collapsed="false">
      <c r="F77" s="19"/>
      <c r="G77" s="26" t="s">
        <v>78</v>
      </c>
      <c r="H77" s="19"/>
      <c r="I77" s="26" t="s">
        <v>78</v>
      </c>
      <c r="J77" s="19"/>
      <c r="K77" s="26" t="s">
        <v>78</v>
      </c>
      <c r="L77" s="19"/>
      <c r="M77" s="26" t="s">
        <v>78</v>
      </c>
      <c r="N77" s="19"/>
      <c r="O77" s="26" t="s">
        <v>78</v>
      </c>
      <c r="P77" s="19"/>
      <c r="Q77" s="26" t="s">
        <v>78</v>
      </c>
    </row>
    <row r="78" customFormat="false" ht="13.8" hidden="false" customHeight="false" outlineLevel="0" collapsed="false">
      <c r="F78" s="19"/>
      <c r="G78" s="20" t="n">
        <f aca="false">(F58-G58)^2</f>
        <v>0.0016472993490785</v>
      </c>
      <c r="H78" s="19"/>
      <c r="I78" s="20" t="n">
        <f aca="false">(H58-I58)^2</f>
        <v>0.00354985537918069</v>
      </c>
      <c r="J78" s="19"/>
      <c r="K78" s="20" t="n">
        <f aca="false">(J58-K58)^2</f>
        <v>0.000127117214684238</v>
      </c>
      <c r="L78" s="19"/>
      <c r="M78" s="20" t="n">
        <f aca="false">(L58-M58)^2</f>
        <v>1.70155269071506E-006</v>
      </c>
      <c r="N78" s="19"/>
      <c r="O78" s="20" t="n">
        <f aca="false">(N58-O58)^2</f>
        <v>0.00319659763313611</v>
      </c>
      <c r="P78" s="19"/>
      <c r="Q78" s="20" t="n">
        <f aca="false">(P58-Q58)^2</f>
        <v>0.00210716309171598</v>
      </c>
    </row>
    <row r="79" customFormat="false" ht="13.8" hidden="false" customHeight="false" outlineLevel="0" collapsed="false">
      <c r="F79" s="19"/>
      <c r="G79" s="20" t="n">
        <f aca="false">(F59-G59)^2</f>
        <v>0.00219480639187413</v>
      </c>
      <c r="H79" s="19"/>
      <c r="I79" s="20" t="n">
        <f aca="false">(H59-I59)^2</f>
        <v>0.000538064784242016</v>
      </c>
      <c r="J79" s="19"/>
      <c r="K79" s="20" t="n">
        <f aca="false">(J59-K59)^2</f>
        <v>0.000156223809447204</v>
      </c>
      <c r="L79" s="19"/>
      <c r="M79" s="20" t="n">
        <f aca="false">(L59-M59)^2</f>
        <v>0.00751525020478612</v>
      </c>
      <c r="N79" s="19"/>
      <c r="O79" s="20" t="n">
        <f aca="false">(N59-O59)^2</f>
        <v>0.0233351961950059</v>
      </c>
      <c r="P79" s="19"/>
      <c r="Q79" s="20" t="n">
        <f aca="false">(P59-Q59)^2</f>
        <v>9.14122546103511E-005</v>
      </c>
    </row>
    <row r="80" customFormat="false" ht="13.8" hidden="false" customHeight="false" outlineLevel="0" collapsed="false">
      <c r="F80" s="19"/>
      <c r="G80" s="20" t="n">
        <f aca="false">(F60-G60)^2</f>
        <v>0.00181122223203409</v>
      </c>
      <c r="H80" s="19"/>
      <c r="I80" s="20" t="n">
        <f aca="false">(H60-I60)^2</f>
        <v>0.00189291221552104</v>
      </c>
      <c r="J80" s="19"/>
      <c r="K80" s="20" t="n">
        <f aca="false">(J60-K60)^2</f>
        <v>6.12036428892839E-005</v>
      </c>
      <c r="L80" s="19"/>
      <c r="M80" s="20" t="n">
        <f aca="false">(L60-M60)^2</f>
        <v>0.0835344755781034</v>
      </c>
      <c r="N80" s="19"/>
      <c r="O80" s="20" t="n">
        <f aca="false">(N60-O60)^2</f>
        <v>0.00661643367043426</v>
      </c>
      <c r="P80" s="19"/>
      <c r="Q80" s="20" t="n">
        <f aca="false">(P60-Q60)^2</f>
        <v>0.000239478378566634</v>
      </c>
    </row>
    <row r="81" customFormat="false" ht="13.8" hidden="false" customHeight="false" outlineLevel="0" collapsed="false">
      <c r="F81" s="19"/>
      <c r="G81" s="20" t="n">
        <f aca="false">(F61-G61)^2</f>
        <v>7.44749253718301E-005</v>
      </c>
      <c r="H81" s="19"/>
      <c r="I81" s="20" t="n">
        <f aca="false">(H61-I61)^2</f>
        <v>1.02058484531842E-005</v>
      </c>
      <c r="J81" s="19"/>
      <c r="K81" s="20" t="n">
        <f aca="false">(J61-K61)^2</f>
        <v>8.69075961315048E-005</v>
      </c>
      <c r="L81" s="19"/>
      <c r="M81" s="20" t="n">
        <f aca="false">(L61-M61)^2</f>
        <v>0.0209704523392572</v>
      </c>
      <c r="N81" s="19"/>
      <c r="O81" s="20" t="n">
        <f aca="false">(N61-O61)^2</f>
        <v>0.0122276382085595</v>
      </c>
      <c r="P81" s="19"/>
      <c r="Q81" s="20" t="n">
        <f aca="false">(P61-Q61)^2</f>
        <v>0.000178327151368859</v>
      </c>
    </row>
    <row r="82" customFormat="false" ht="13.8" hidden="false" customHeight="false" outlineLevel="0" collapsed="false">
      <c r="F82" s="19"/>
      <c r="G82" s="20" t="n">
        <f aca="false">(F62-G62)^2</f>
        <v>9.87889693482397E-005</v>
      </c>
      <c r="H82" s="19"/>
      <c r="I82" s="20" t="n">
        <f aca="false">(H62-I62)^2</f>
        <v>0.000950470472267393</v>
      </c>
      <c r="J82" s="19"/>
      <c r="K82" s="20" t="n">
        <f aca="false">(J62-K62)^2</f>
        <v>0.000384180922879479</v>
      </c>
      <c r="L82" s="19"/>
      <c r="M82" s="20" t="n">
        <f aca="false">(L62-M62)^2</f>
        <v>0.0202397571822871</v>
      </c>
      <c r="N82" s="19"/>
      <c r="O82" s="20" t="n">
        <f aca="false">(N62-O62)^2</f>
        <v>0.00268147061207432</v>
      </c>
      <c r="P82" s="19"/>
      <c r="Q82" s="20" t="n">
        <f aca="false">(P62-Q62)^2</f>
        <v>1.6492560824573E-009</v>
      </c>
    </row>
    <row r="83" customFormat="false" ht="13.8" hidden="false" customHeight="false" outlineLevel="0" collapsed="false">
      <c r="F83" s="19"/>
      <c r="G83" s="20" t="n">
        <f aca="false">(F63-G63)^2</f>
        <v>4.11831761104969E-005</v>
      </c>
      <c r="H83" s="19"/>
      <c r="I83" s="20" t="n">
        <f aca="false">(H63-I63)^2</f>
        <v>0.00236759249992754</v>
      </c>
      <c r="J83" s="19"/>
      <c r="K83" s="20" t="n">
        <f aca="false">(J63-K63)^2</f>
        <v>4.29492777829604E-008</v>
      </c>
      <c r="L83" s="19"/>
      <c r="M83" s="20" t="n">
        <f aca="false">(L63-M63)^2</f>
        <v>0.0162967495531126</v>
      </c>
      <c r="N83" s="19"/>
      <c r="O83" s="20" t="n">
        <f aca="false">(N63-O63)^2</f>
        <v>0.0407905216089408</v>
      </c>
      <c r="P83" s="19"/>
      <c r="Q83" s="20" t="n">
        <f aca="false">(P63-Q63)^2</f>
        <v>0.000624873051580483</v>
      </c>
    </row>
    <row r="84" customFormat="false" ht="13.8" hidden="false" customHeight="false" outlineLevel="0" collapsed="false">
      <c r="F84" s="19"/>
      <c r="G84" s="20" t="n">
        <f aca="false">(F64-G64)^2</f>
        <v>0.000166706769748147</v>
      </c>
      <c r="H84" s="19"/>
      <c r="I84" s="20" t="n">
        <f aca="false">(H64-I64)^2</f>
        <v>0.000229790313883666</v>
      </c>
      <c r="J84" s="19"/>
      <c r="K84" s="20" t="n">
        <f aca="false">(J64-K64)^2</f>
        <v>6.71944831581659E-010</v>
      </c>
      <c r="L84" s="19"/>
      <c r="M84" s="20" t="n">
        <f aca="false">(L64-M64)^2</f>
        <v>7.79138998451752E-005</v>
      </c>
      <c r="N84" s="19"/>
      <c r="O84" s="20" t="n">
        <f aca="false">(N64-O64)^2</f>
        <v>0.00303405554153797</v>
      </c>
      <c r="P84" s="19"/>
      <c r="Q84" s="20" t="n">
        <f aca="false">(P64-Q64)^2</f>
        <v>0.0113422161975364</v>
      </c>
    </row>
    <row r="85" customFormat="false" ht="13.8" hidden="false" customHeight="false" outlineLevel="0" collapsed="false">
      <c r="F85" s="27"/>
      <c r="G85" s="28" t="n">
        <f aca="false">(F65-G65)^2</f>
        <v>0.00731575070628846</v>
      </c>
      <c r="H85" s="27"/>
      <c r="I85" s="28" t="n">
        <f aca="false">(H65-I65)^2</f>
        <v>0.00403708442326029</v>
      </c>
      <c r="J85" s="27"/>
      <c r="K85" s="28" t="n">
        <f aca="false">(J65-K65)^2</f>
        <v>6.00122827893802E-005</v>
      </c>
      <c r="L85" s="27"/>
      <c r="M85" s="28" t="n">
        <f aca="false">(L65-M65)^2</f>
        <v>9.21340745604026E-008</v>
      </c>
      <c r="N85" s="27"/>
      <c r="O85" s="28" t="n">
        <f aca="false">(N65-O65)^2</f>
        <v>5.01591833216448E-006</v>
      </c>
      <c r="P85" s="27"/>
      <c r="Q85" s="28" t="n">
        <f aca="false">(P65-Q65)^2</f>
        <v>0</v>
      </c>
    </row>
    <row r="86" customFormat="false" ht="13.8" hidden="false" customHeight="false" outlineLevel="0" collapsed="false">
      <c r="G86" s="29" t="n">
        <f aca="false">SUM(G78:G85)</f>
        <v>0.0133502325198539</v>
      </c>
      <c r="I86" s="29" t="n">
        <f aca="false">SUM(I78:I85)</f>
        <v>0.0135759759367358</v>
      </c>
      <c r="K86" s="29" t="n">
        <f aca="false">SUM(K78:K85)</f>
        <v>0.000875689090043705</v>
      </c>
      <c r="M86" s="29" t="n">
        <f aca="false">SUM(M78:M85)</f>
        <v>0.148636392444157</v>
      </c>
      <c r="O86" s="29" t="n">
        <f aca="false">SUM(O78:O85)</f>
        <v>0.091886929388021</v>
      </c>
      <c r="Q86" s="29" t="n">
        <f aca="false">SUM(Q78:Q85)</f>
        <v>0.0145834717746348</v>
      </c>
    </row>
    <row r="109" customFormat="false" ht="13.8" hidden="false" customHeight="false" outlineLevel="0" collapsed="false">
      <c r="L109" s="20"/>
    </row>
    <row r="110" customFormat="false" ht="13.8" hidden="false" customHeight="false" outlineLevel="0" collapsed="false">
      <c r="L110" s="20"/>
    </row>
    <row r="111" customFormat="false" ht="13.8" hidden="false" customHeight="false" outlineLevel="0" collapsed="false">
      <c r="L111" s="20"/>
    </row>
    <row r="112" customFormat="false" ht="13.8" hidden="false" customHeight="false" outlineLevel="0" collapsed="false">
      <c r="L112" s="20"/>
    </row>
  </sheetData>
  <printOptions headings="false" gridLines="false" gridLinesSet="true" horizontalCentered="false" verticalCentered="false"/>
  <pageMargins left="0.7875" right="0.7875" top="1.15138888888889" bottom="1.15138888888889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R112"/>
  <sheetViews>
    <sheetView showFormulas="false" showGridLines="true" showRowColHeaders="true" showZeros="true" rightToLeft="false" tabSelected="true" showOutlineSymbols="true" defaultGridColor="true" view="normal" topLeftCell="B54" colorId="64" zoomScale="100" zoomScaleNormal="100" zoomScalePageLayoutView="100" workbookViewId="0">
      <selection pane="topLeft" activeCell="L67" activeCellId="0" sqref="L67"/>
    </sheetView>
  </sheetViews>
  <sheetFormatPr defaultColWidth="7.86328125" defaultRowHeight="13.8" zeroHeight="false" outlineLevelRow="0" outlineLevelCol="0"/>
  <cols>
    <col collapsed="false" customWidth="true" hidden="false" outlineLevel="0" max="1" min="1" style="0" width="21.8"/>
    <col collapsed="false" customWidth="true" hidden="false" outlineLevel="0" max="4" min="2" style="0" width="8.9"/>
    <col collapsed="false" customWidth="true" hidden="false" outlineLevel="0" max="5" min="5" style="0" width="10.5"/>
    <col collapsed="false" customWidth="true" hidden="false" outlineLevel="0" max="6" min="6" style="0" width="8.74"/>
    <col collapsed="false" customWidth="true" hidden="false" outlineLevel="0" max="7" min="7" style="0" width="7.25"/>
    <col collapsed="false" customWidth="true" hidden="false" outlineLevel="0" max="9" min="8" style="0" width="9.5"/>
    <col collapsed="false" customWidth="true" hidden="false" outlineLevel="0" max="10" min="10" style="0" width="7.39"/>
    <col collapsed="false" customWidth="true" hidden="false" outlineLevel="0" max="11" min="11" style="0" width="8.12"/>
    <col collapsed="false" customWidth="true" hidden="false" outlineLevel="0" max="12" min="12" style="0" width="7.5"/>
    <col collapsed="false" customWidth="true" hidden="false" outlineLevel="0" max="13" min="13" style="0" width="7.39"/>
    <col collapsed="false" customWidth="true" hidden="false" outlineLevel="0" max="14" min="14" style="0" width="6.62"/>
    <col collapsed="false" customWidth="true" hidden="false" outlineLevel="0" max="15" min="15" style="0" width="6.25"/>
    <col collapsed="false" customWidth="true" hidden="false" outlineLevel="0" max="16" min="16" style="0" width="7.75"/>
    <col collapsed="false" customWidth="true" hidden="false" outlineLevel="0" max="17" min="17" style="0" width="6.87"/>
  </cols>
  <sheetData>
    <row r="2" customFormat="false" ht="13.8" hidden="false" customHeight="false" outlineLevel="0" collapsed="false">
      <c r="A2" s="0" t="s">
        <v>0</v>
      </c>
    </row>
    <row r="3" customFormat="false" ht="13.8" hidden="false" customHeight="false" outlineLevel="0" collapsed="false">
      <c r="A3" s="0" t="s">
        <v>81</v>
      </c>
    </row>
    <row r="4" customFormat="false" ht="13.8" hidden="false" customHeight="false" outlineLevel="0" collapsed="false">
      <c r="A4" s="0" t="s">
        <v>2</v>
      </c>
    </row>
    <row r="5" customFormat="false" ht="13.8" hidden="false" customHeight="false" outlineLevel="0" collapsed="false">
      <c r="A5" s="0" t="s">
        <v>3</v>
      </c>
    </row>
    <row r="7" customFormat="false" ht="13.8" hidden="false" customHeight="false" outlineLevel="0" collapsed="false">
      <c r="A7" s="0" t="s">
        <v>4</v>
      </c>
    </row>
    <row r="8" customFormat="false" ht="13.8" hidden="false" customHeight="false" outlineLevel="0" collapsed="false">
      <c r="A8" s="0" t="s">
        <v>5</v>
      </c>
    </row>
    <row r="9" customFormat="false" ht="13.8" hidden="false" customHeight="false" outlineLevel="0" collapsed="false">
      <c r="A9" s="0" t="s">
        <v>6</v>
      </c>
    </row>
    <row r="10" customFormat="false" ht="13.8" hidden="false" customHeight="false" outlineLevel="0" collapsed="false">
      <c r="A10" s="0" t="s">
        <v>7</v>
      </c>
    </row>
    <row r="11" customFormat="false" ht="13.8" hidden="false" customHeight="false" outlineLevel="0" collapsed="false">
      <c r="A11" s="0" t="s">
        <v>8</v>
      </c>
    </row>
    <row r="13" customFormat="false" ht="13.8" hidden="false" customHeight="false" outlineLevel="0" collapsed="false">
      <c r="A13" s="0" t="s">
        <v>9</v>
      </c>
    </row>
    <row r="14" customFormat="false" ht="13.8" hidden="false" customHeight="false" outlineLevel="0" collapsed="false">
      <c r="A14" s="0" t="s">
        <v>10</v>
      </c>
    </row>
    <row r="15" customFormat="false" ht="13.8" hidden="false" customHeight="false" outlineLevel="0" collapsed="false">
      <c r="A15" s="0" t="s">
        <v>11</v>
      </c>
    </row>
    <row r="16" customFormat="false" ht="13.8" hidden="false" customHeight="false" outlineLevel="0" collapsed="false">
      <c r="A16" s="0" t="s">
        <v>12</v>
      </c>
    </row>
    <row r="17" customFormat="false" ht="13.8" hidden="false" customHeight="false" outlineLevel="0" collapsed="false">
      <c r="A17" s="0" t="s">
        <v>13</v>
      </c>
    </row>
    <row r="18" customFormat="false" ht="13.8" hidden="false" customHeight="false" outlineLevel="0" collapsed="false">
      <c r="A18" s="0" t="s">
        <v>14</v>
      </c>
    </row>
    <row r="19" customFormat="false" ht="13.8" hidden="false" customHeight="false" outlineLevel="0" collapsed="false">
      <c r="A19" s="0" t="s">
        <v>15</v>
      </c>
    </row>
    <row r="20" customFormat="false" ht="13.8" hidden="false" customHeight="false" outlineLevel="0" collapsed="false">
      <c r="A20" s="0" t="s">
        <v>16</v>
      </c>
    </row>
    <row r="21" customFormat="false" ht="13.8" hidden="false" customHeight="false" outlineLevel="0" collapsed="false">
      <c r="A21" s="0" t="s">
        <v>17</v>
      </c>
    </row>
    <row r="22" customFormat="false" ht="13.8" hidden="false" customHeight="false" outlineLevel="0" collapsed="false">
      <c r="A22" s="0" t="s">
        <v>18</v>
      </c>
    </row>
    <row r="23" customFormat="false" ht="13.8" hidden="false" customHeight="false" outlineLevel="0" collapsed="false">
      <c r="A23" s="0" t="s">
        <v>19</v>
      </c>
    </row>
    <row r="24" customFormat="false" ht="13.8" hidden="false" customHeight="false" outlineLevel="0" collapsed="false">
      <c r="A24" s="0" t="s">
        <v>20</v>
      </c>
    </row>
    <row r="25" customFormat="false" ht="13.8" hidden="false" customHeight="false" outlineLevel="0" collapsed="false">
      <c r="A25" s="0" t="s">
        <v>21</v>
      </c>
    </row>
    <row r="27" customFormat="false" ht="13.8" hidden="false" customHeight="false" outlineLevel="0" collapsed="false">
      <c r="A27" s="0" t="s">
        <v>22</v>
      </c>
    </row>
    <row r="28" customFormat="false" ht="13.8" hidden="false" customHeight="false" outlineLevel="0" collapsed="false">
      <c r="A28" s="0" t="s">
        <v>15</v>
      </c>
    </row>
    <row r="29" customFormat="false" ht="13.8" hidden="false" customHeight="false" outlineLevel="0" collapsed="false">
      <c r="A29" s="0" t="s">
        <v>23</v>
      </c>
      <c r="E29" s="0" t="s">
        <v>24</v>
      </c>
      <c r="F29" s="0" t="s">
        <v>25</v>
      </c>
      <c r="G29" s="0" t="s">
        <v>26</v>
      </c>
      <c r="H29" s="0" t="s">
        <v>27</v>
      </c>
      <c r="I29" s="0" t="s">
        <v>28</v>
      </c>
      <c r="J29" s="0" t="s">
        <v>29</v>
      </c>
    </row>
    <row r="31" customFormat="false" ht="13.8" hidden="false" customHeight="false" outlineLevel="0" collapsed="false">
      <c r="A31" s="0" t="s">
        <v>30</v>
      </c>
      <c r="F31" s="0" t="s">
        <v>31</v>
      </c>
    </row>
    <row r="32" customFormat="false" ht="13.8" hidden="false" customHeight="false" outlineLevel="0" collapsed="false">
      <c r="F32" s="0" t="n">
        <v>1</v>
      </c>
      <c r="G32" s="0" t="n">
        <v>2</v>
      </c>
      <c r="H32" s="0" t="n">
        <v>3</v>
      </c>
      <c r="I32" s="0" t="n">
        <v>4</v>
      </c>
      <c r="J32" s="0" t="n">
        <v>5</v>
      </c>
      <c r="K32" s="0" t="n">
        <v>6</v>
      </c>
      <c r="L32" s="0" t="n">
        <v>7</v>
      </c>
      <c r="M32" s="0" t="n">
        <v>8</v>
      </c>
      <c r="N32" s="0" t="n">
        <v>9</v>
      </c>
      <c r="O32" s="0" t="n">
        <v>10</v>
      </c>
      <c r="P32" s="0" t="n">
        <v>11</v>
      </c>
      <c r="Q32" s="0" t="n">
        <v>12</v>
      </c>
    </row>
    <row r="33" customFormat="false" ht="13.8" hidden="false" customHeight="false" outlineLevel="0" collapsed="false">
      <c r="A33" s="0" t="s">
        <v>32</v>
      </c>
      <c r="F33" s="0" t="n">
        <v>0.59</v>
      </c>
      <c r="G33" s="0" t="n">
        <v>0.488</v>
      </c>
      <c r="H33" s="0" t="n">
        <v>0.546</v>
      </c>
      <c r="I33" s="0" t="n">
        <v>0.575</v>
      </c>
      <c r="J33" s="0" t="n">
        <v>0.383</v>
      </c>
      <c r="K33" s="0" t="n">
        <v>0.323</v>
      </c>
      <c r="L33" s="0" t="n">
        <v>0.404</v>
      </c>
      <c r="M33" s="0" t="n">
        <v>0.624</v>
      </c>
      <c r="N33" s="0" t="n">
        <v>2.856</v>
      </c>
      <c r="O33" s="0" t="n">
        <v>2.699</v>
      </c>
      <c r="P33" s="0" t="n">
        <v>0.135</v>
      </c>
      <c r="Q33" s="0" t="n">
        <v>0.134</v>
      </c>
      <c r="R33" s="0" t="s">
        <v>29</v>
      </c>
    </row>
    <row r="34" customFormat="false" ht="13.8" hidden="false" customHeight="false" outlineLevel="0" collapsed="false">
      <c r="A34" s="0" t="s">
        <v>33</v>
      </c>
      <c r="F34" s="0" t="n">
        <v>0.575</v>
      </c>
      <c r="G34" s="0" t="n">
        <v>0.5</v>
      </c>
      <c r="H34" s="0" t="n">
        <v>0.49</v>
      </c>
      <c r="I34" s="0" t="n">
        <v>0.715</v>
      </c>
      <c r="J34" s="0" t="n">
        <v>0.515</v>
      </c>
      <c r="K34" s="0" t="n">
        <v>0.503</v>
      </c>
      <c r="L34" s="0" t="n">
        <v>0.512</v>
      </c>
      <c r="M34" s="0" t="n">
        <v>0.509</v>
      </c>
      <c r="N34" s="0" t="n">
        <v>2.307</v>
      </c>
      <c r="O34" s="0" t="n">
        <v>1.723</v>
      </c>
      <c r="P34" s="0" t="n">
        <v>0.301</v>
      </c>
      <c r="Q34" s="0" t="n">
        <v>0.128</v>
      </c>
      <c r="R34" s="0" t="s">
        <v>29</v>
      </c>
    </row>
    <row r="35" customFormat="false" ht="13.8" hidden="false" customHeight="false" outlineLevel="0" collapsed="false">
      <c r="A35" s="0" t="s">
        <v>34</v>
      </c>
      <c r="F35" s="0" t="n">
        <v>0.335</v>
      </c>
      <c r="G35" s="0" t="n">
        <v>0.544</v>
      </c>
      <c r="H35" s="0" t="n">
        <v>0.571</v>
      </c>
      <c r="I35" s="0" t="n">
        <v>0.578</v>
      </c>
      <c r="J35" s="0" t="n">
        <v>1.807</v>
      </c>
      <c r="K35" s="0" t="n">
        <v>0.453</v>
      </c>
      <c r="L35" s="0" t="n">
        <v>0.354</v>
      </c>
      <c r="M35" s="0" t="n">
        <v>0.488</v>
      </c>
      <c r="N35" s="0" t="n">
        <v>1.305</v>
      </c>
      <c r="O35" s="0" t="n">
        <v>0.799</v>
      </c>
      <c r="P35" s="0" t="n">
        <v>0.165</v>
      </c>
      <c r="Q35" s="0" t="n">
        <v>0.132</v>
      </c>
      <c r="R35" s="0" t="s">
        <v>29</v>
      </c>
    </row>
    <row r="36" customFormat="false" ht="13.8" hidden="false" customHeight="false" outlineLevel="0" collapsed="false">
      <c r="A36" s="0" t="s">
        <v>35</v>
      </c>
      <c r="F36" s="0" t="n">
        <v>0.252</v>
      </c>
      <c r="G36" s="0" t="n">
        <v>0.173</v>
      </c>
      <c r="H36" s="0" t="n">
        <v>0.359</v>
      </c>
      <c r="I36" s="0" t="n">
        <v>0.391</v>
      </c>
      <c r="J36" s="0" t="n">
        <v>0.534</v>
      </c>
      <c r="K36" s="0" t="n">
        <v>0.417</v>
      </c>
      <c r="L36" s="0" t="n">
        <v>0.36</v>
      </c>
      <c r="M36" s="0" t="n">
        <v>0.459</v>
      </c>
      <c r="N36" s="0" t="n">
        <v>0.694</v>
      </c>
      <c r="O36" s="0" t="n">
        <v>0.371</v>
      </c>
      <c r="P36" s="0" t="n">
        <v>0.108</v>
      </c>
      <c r="Q36" s="0" t="n">
        <v>0.116</v>
      </c>
      <c r="R36" s="0" t="s">
        <v>29</v>
      </c>
    </row>
    <row r="37" customFormat="false" ht="13.8" hidden="false" customHeight="false" outlineLevel="0" collapsed="false">
      <c r="A37" s="0" t="s">
        <v>36</v>
      </c>
      <c r="F37" s="0" t="n">
        <v>0.213</v>
      </c>
      <c r="G37" s="0" t="n">
        <v>0.151</v>
      </c>
      <c r="H37" s="0" t="n">
        <v>0.175</v>
      </c>
      <c r="I37" s="0" t="n">
        <v>0.428</v>
      </c>
      <c r="J37" s="0" t="n">
        <v>0.36</v>
      </c>
      <c r="K37" s="0" t="n">
        <v>0.395</v>
      </c>
      <c r="L37" s="0" t="n">
        <v>0.155</v>
      </c>
      <c r="M37" s="0" t="n">
        <v>0.396</v>
      </c>
      <c r="N37" s="0" t="n">
        <v>0.578</v>
      </c>
      <c r="O37" s="0" t="n">
        <v>0.265</v>
      </c>
      <c r="P37" s="0" t="n">
        <v>0.084</v>
      </c>
      <c r="Q37" s="0" t="n">
        <v>0.102</v>
      </c>
      <c r="R37" s="0" t="s">
        <v>29</v>
      </c>
    </row>
    <row r="38" customFormat="false" ht="13.8" hidden="false" customHeight="false" outlineLevel="0" collapsed="false">
      <c r="A38" s="0" t="s">
        <v>37</v>
      </c>
      <c r="F38" s="0" t="n">
        <v>0.177</v>
      </c>
      <c r="G38" s="0" t="n">
        <v>0.184</v>
      </c>
      <c r="H38" s="0" t="n">
        <v>0.118</v>
      </c>
      <c r="I38" s="0" t="n">
        <v>0.164</v>
      </c>
      <c r="J38" s="0" t="n">
        <v>0.135</v>
      </c>
      <c r="K38" s="0" t="n">
        <v>0.288</v>
      </c>
      <c r="L38" s="0" t="n">
        <v>0.118</v>
      </c>
      <c r="M38" s="0" t="n">
        <v>0.144</v>
      </c>
      <c r="N38" s="0" t="n">
        <v>0.218</v>
      </c>
      <c r="O38" s="0" t="n">
        <v>0.25</v>
      </c>
      <c r="P38" s="0" t="n">
        <v>0.134</v>
      </c>
      <c r="Q38" s="0" t="n">
        <v>0.083</v>
      </c>
      <c r="R38" s="0" t="s">
        <v>29</v>
      </c>
    </row>
    <row r="39" customFormat="false" ht="13.8" hidden="false" customHeight="false" outlineLevel="0" collapsed="false">
      <c r="A39" s="0" t="s">
        <v>38</v>
      </c>
      <c r="F39" s="0" t="n">
        <v>0.176</v>
      </c>
      <c r="G39" s="0" t="n">
        <v>0.134</v>
      </c>
      <c r="H39" s="0" t="n">
        <v>0.115</v>
      </c>
      <c r="I39" s="0" t="n">
        <v>0.115</v>
      </c>
      <c r="J39" s="0" t="n">
        <v>0.128</v>
      </c>
      <c r="K39" s="0" t="n">
        <v>0.118</v>
      </c>
      <c r="L39" s="0" t="n">
        <v>0.111</v>
      </c>
      <c r="M39" s="0" t="n">
        <v>0.1</v>
      </c>
      <c r="N39" s="0" t="n">
        <v>0.24</v>
      </c>
      <c r="O39" s="0" t="n">
        <v>0.252</v>
      </c>
      <c r="P39" s="0" t="n">
        <v>0.163</v>
      </c>
      <c r="Q39" s="0" t="n">
        <v>0.106</v>
      </c>
      <c r="R39" s="0" t="s">
        <v>29</v>
      </c>
    </row>
    <row r="40" customFormat="false" ht="13.8" hidden="false" customHeight="false" outlineLevel="0" collapsed="false">
      <c r="A40" s="0" t="s">
        <v>39</v>
      </c>
      <c r="F40" s="0" t="n">
        <v>0.179</v>
      </c>
      <c r="G40" s="0" t="n">
        <v>0.196</v>
      </c>
      <c r="H40" s="0" t="n">
        <v>0.151</v>
      </c>
      <c r="I40" s="0" t="n">
        <v>0.159</v>
      </c>
      <c r="J40" s="0" t="n">
        <v>0.173</v>
      </c>
      <c r="K40" s="0" t="n">
        <v>0.144</v>
      </c>
      <c r="L40" s="0" t="n">
        <v>0.188</v>
      </c>
      <c r="M40" s="0" t="n">
        <v>0.171</v>
      </c>
      <c r="N40" s="0" t="n">
        <v>0.361</v>
      </c>
      <c r="O40" s="0" t="n">
        <v>0.277</v>
      </c>
      <c r="P40" s="0" t="n">
        <v>0.123</v>
      </c>
      <c r="Q40" s="0" t="n">
        <v>0.13</v>
      </c>
      <c r="R40" s="0" t="s">
        <v>29</v>
      </c>
    </row>
    <row r="42" customFormat="false" ht="13.8" hidden="false" customHeight="false" outlineLevel="0" collapsed="false">
      <c r="A42" s="0" t="s">
        <v>40</v>
      </c>
    </row>
    <row r="43" customFormat="false" ht="13.8" hidden="false" customHeight="false" outlineLevel="0" collapsed="false">
      <c r="A43" s="0" t="s">
        <v>41</v>
      </c>
      <c r="F43" s="0" t="s">
        <v>42</v>
      </c>
      <c r="Q43" s="0" t="s">
        <v>42</v>
      </c>
    </row>
    <row r="44" s="1" customFormat="true" ht="13.8" hidden="false" customHeight="false" outlineLevel="0" collapsed="false">
      <c r="A44" s="0"/>
      <c r="F44" s="1" t="n">
        <v>1</v>
      </c>
      <c r="G44" s="1" t="n">
        <v>2</v>
      </c>
      <c r="H44" s="1" t="n">
        <v>3</v>
      </c>
      <c r="I44" s="1" t="n">
        <v>4</v>
      </c>
      <c r="J44" s="1" t="n">
        <v>5</v>
      </c>
      <c r="K44" s="1" t="n">
        <v>6</v>
      </c>
      <c r="L44" s="1" t="n">
        <v>7</v>
      </c>
      <c r="M44" s="1" t="n">
        <v>8</v>
      </c>
      <c r="N44" s="1" t="n">
        <v>9</v>
      </c>
      <c r="O44" s="1" t="n">
        <v>10</v>
      </c>
      <c r="P44" s="1" t="n">
        <v>11</v>
      </c>
      <c r="Q44" s="1" t="n">
        <v>12</v>
      </c>
    </row>
    <row r="45" s="2" customFormat="true" ht="15" hidden="false" customHeight="false" outlineLevel="0" collapsed="false">
      <c r="A45" s="0" t="s">
        <v>43</v>
      </c>
      <c r="B45" s="2" t="s">
        <v>44</v>
      </c>
      <c r="C45" s="2" t="s">
        <v>45</v>
      </c>
      <c r="D45" s="2" t="s">
        <v>46</v>
      </c>
      <c r="E45" s="2" t="s">
        <v>47</v>
      </c>
      <c r="F45" s="3" t="s">
        <v>48</v>
      </c>
      <c r="G45" s="3" t="s">
        <v>48</v>
      </c>
      <c r="H45" s="4" t="s">
        <v>49</v>
      </c>
      <c r="I45" s="3" t="s">
        <v>49</v>
      </c>
      <c r="J45" s="5" t="s">
        <v>50</v>
      </c>
      <c r="K45" s="5" t="s">
        <v>50</v>
      </c>
      <c r="L45" s="5" t="s">
        <v>51</v>
      </c>
      <c r="M45" s="5" t="s">
        <v>51</v>
      </c>
      <c r="N45" s="5" t="s">
        <v>80</v>
      </c>
      <c r="O45" s="5" t="s">
        <v>80</v>
      </c>
      <c r="P45" s="5" t="s">
        <v>52</v>
      </c>
      <c r="Q45" s="3" t="s">
        <v>52</v>
      </c>
    </row>
    <row r="46" customFormat="false" ht="13.8" hidden="false" customHeight="false" outlineLevel="0" collapsed="false">
      <c r="A46" s="0" t="s">
        <v>32</v>
      </c>
      <c r="B46" s="0" t="n">
        <v>1</v>
      </c>
      <c r="C46" s="6" t="n">
        <f aca="false">D46</f>
        <v>100</v>
      </c>
      <c r="D46" s="6" t="n">
        <v>100</v>
      </c>
      <c r="E46" s="7" t="n">
        <f aca="false">1/D46</f>
        <v>0.01</v>
      </c>
      <c r="F46" s="0" t="n">
        <f aca="false">IF(F33-$F$55&gt;0,F33-$F$55,0)</f>
        <v>0.4635</v>
      </c>
      <c r="G46" s="0" t="n">
        <f aca="false">IF(G33-$F$55&gt;0,G33-$F$55,0)</f>
        <v>0.3615</v>
      </c>
      <c r="H46" s="0" t="n">
        <f aca="false">IF(H33-$F$55&gt;0,H33-$F$55,0)</f>
        <v>0.4195</v>
      </c>
      <c r="I46" s="0" t="n">
        <f aca="false">IF(I33-$F$55&gt;0,I33-$F$55,0)</f>
        <v>0.4485</v>
      </c>
      <c r="J46" s="0" t="n">
        <f aca="false">IF(J33-$F$55&gt;0,J33-$F$55,0)</f>
        <v>0.2565</v>
      </c>
      <c r="K46" s="0" t="n">
        <f aca="false">IF(K33-$F$55&gt;0,K33-$F$55,0)</f>
        <v>0.1965</v>
      </c>
      <c r="L46" s="0" t="n">
        <f aca="false">IF(L33-$F$55&gt;0,L33-$F$55,0)</f>
        <v>0.2775</v>
      </c>
      <c r="M46" s="0" t="n">
        <f aca="false">IF(M33-$F$55&gt;0,M33-$F$55,0)</f>
        <v>0.4975</v>
      </c>
      <c r="N46" s="0" t="n">
        <f aca="false">IF(N33-$F$55&gt;0,N33-$F$55,0)</f>
        <v>2.7295</v>
      </c>
      <c r="O46" s="0" t="n">
        <f aca="false">IF(O33-$F$55&gt;0,O33-$F$55,0)</f>
        <v>2.5725</v>
      </c>
      <c r="P46" s="0" t="n">
        <f aca="false">IF(P33-$F$55&gt;0,P33-$F$55,0)</f>
        <v>0.00850000000000001</v>
      </c>
      <c r="Q46" s="0" t="n">
        <f aca="false">IF(Q33-$F$55&gt;0,Q33-$F$55,0)</f>
        <v>0.00750000000000001</v>
      </c>
    </row>
    <row r="47" customFormat="false" ht="13.8" hidden="false" customHeight="false" outlineLevel="0" collapsed="false">
      <c r="A47" s="0" t="s">
        <v>33</v>
      </c>
      <c r="B47" s="0" t="n">
        <f aca="false">35/(105+35)</f>
        <v>0.25</v>
      </c>
      <c r="C47" s="6" t="n">
        <f aca="false">D47</f>
        <v>400</v>
      </c>
      <c r="D47" s="6" t="n">
        <f aca="false">(1/B47)*D46</f>
        <v>400</v>
      </c>
      <c r="E47" s="7" t="n">
        <f aca="false">1/D47</f>
        <v>0.0025</v>
      </c>
      <c r="F47" s="0" t="n">
        <f aca="false">IF(F34-$F$55&gt;0,F34-$F$55,0)</f>
        <v>0.4485</v>
      </c>
      <c r="G47" s="0" t="n">
        <f aca="false">IF(G34-$F$55&gt;0,G34-$F$55,0)</f>
        <v>0.3735</v>
      </c>
      <c r="H47" s="0" t="n">
        <f aca="false">IF(H34-$F$55&gt;0,H34-$F$55,0)</f>
        <v>0.3635</v>
      </c>
      <c r="I47" s="0" t="n">
        <f aca="false">IF(I34-$F$55&gt;0,I34-$F$55,0)</f>
        <v>0.5885</v>
      </c>
      <c r="J47" s="0" t="n">
        <f aca="false">IF(J34-$F$55&gt;0,J34-$F$55,0)</f>
        <v>0.3885</v>
      </c>
      <c r="K47" s="0" t="n">
        <f aca="false">IF(K34-$F$55&gt;0,K34-$F$55,0)</f>
        <v>0.3765</v>
      </c>
      <c r="L47" s="0" t="n">
        <f aca="false">IF(L34-$F$55&gt;0,L34-$F$55,0)</f>
        <v>0.3855</v>
      </c>
      <c r="M47" s="0" t="n">
        <f aca="false">IF(M34-$F$55&gt;0,M34-$F$55,0)</f>
        <v>0.3825</v>
      </c>
      <c r="N47" s="0" t="n">
        <f aca="false">IF(N34-$F$55&gt;0,N34-$F$55,0)</f>
        <v>2.1805</v>
      </c>
      <c r="O47" s="0" t="n">
        <f aca="false">IF(O34-$F$55&gt;0,O34-$F$55,0)</f>
        <v>1.5965</v>
      </c>
      <c r="P47" s="0" t="n">
        <f aca="false">IF(P34-$F$55&gt;0,P34-$F$55,0)</f>
        <v>0.1745</v>
      </c>
      <c r="Q47" s="0" t="n">
        <f aca="false">IF(Q34-$F$55&gt;0,Q34-$F$55,0)</f>
        <v>0.0015</v>
      </c>
    </row>
    <row r="48" customFormat="false" ht="13.8" hidden="false" customHeight="false" outlineLevel="0" collapsed="false">
      <c r="A48" s="0" t="s">
        <v>34</v>
      </c>
      <c r="B48" s="0" t="n">
        <f aca="false">35/(105+35)</f>
        <v>0.25</v>
      </c>
      <c r="C48" s="6" t="n">
        <f aca="false">D48</f>
        <v>1600</v>
      </c>
      <c r="D48" s="6" t="n">
        <f aca="false">(1/B48)*D47</f>
        <v>1600</v>
      </c>
      <c r="E48" s="7" t="n">
        <f aca="false">1/D48</f>
        <v>0.000625</v>
      </c>
      <c r="F48" s="0" t="n">
        <f aca="false">IF(F35-$F$55&gt;0,F35-$F$55,0)</f>
        <v>0.2085</v>
      </c>
      <c r="G48" s="0" t="n">
        <f aca="false">IF(G35-$F$55&gt;0,G35-$F$55,0)</f>
        <v>0.4175</v>
      </c>
      <c r="H48" s="0" t="n">
        <f aca="false">IF(H35-$F$55&gt;0,H35-$F$55,0)</f>
        <v>0.4445</v>
      </c>
      <c r="I48" s="0" t="n">
        <f aca="false">IF(I35-$F$55&gt;0,I35-$F$55,0)</f>
        <v>0.4515</v>
      </c>
      <c r="J48" s="0" t="n">
        <f aca="false">IF(J35-$F$55&gt;0,J35-$F$55,0)</f>
        <v>1.6805</v>
      </c>
      <c r="K48" s="0" t="n">
        <f aca="false">IF(K35-$F$55&gt;0,K35-$F$55,0)</f>
        <v>0.3265</v>
      </c>
      <c r="L48" s="0" t="n">
        <f aca="false">IF(L35-$F$55&gt;0,L35-$F$55,0)</f>
        <v>0.2275</v>
      </c>
      <c r="M48" s="0" t="n">
        <f aca="false">IF(M35-$F$55&gt;0,M35-$F$55,0)</f>
        <v>0.3615</v>
      </c>
      <c r="N48" s="0" t="n">
        <f aca="false">IF(N35-$F$55&gt;0,N35-$F$55,0)</f>
        <v>1.1785</v>
      </c>
      <c r="O48" s="0" t="n">
        <f aca="false">IF(O35-$F$55&gt;0,O35-$F$55,0)</f>
        <v>0.6725</v>
      </c>
      <c r="P48" s="0" t="n">
        <f aca="false">IF(P35-$F$55&gt;0,P35-$F$55,0)</f>
        <v>0.0385</v>
      </c>
      <c r="Q48" s="0" t="n">
        <f aca="false">IF(Q35-$F$55&gt;0,Q35-$F$55,0)</f>
        <v>0.0055</v>
      </c>
    </row>
    <row r="49" customFormat="false" ht="13.8" hidden="false" customHeight="false" outlineLevel="0" collapsed="false">
      <c r="A49" s="0" t="s">
        <v>35</v>
      </c>
      <c r="B49" s="0" t="n">
        <f aca="false">35/(105+35)</f>
        <v>0.25</v>
      </c>
      <c r="C49" s="6" t="n">
        <f aca="false">D49</f>
        <v>6400</v>
      </c>
      <c r="D49" s="6" t="n">
        <f aca="false">(1/B49)*D48</f>
        <v>6400</v>
      </c>
      <c r="E49" s="7" t="n">
        <f aca="false">1/D49</f>
        <v>0.00015625</v>
      </c>
      <c r="F49" s="0" t="n">
        <f aca="false">IF(F36-$F$55&gt;0,F36-$F$55,0)</f>
        <v>0.1255</v>
      </c>
      <c r="G49" s="0" t="n">
        <f aca="false">IF(G36-$F$55&gt;0,G36-$F$55,0)</f>
        <v>0.0465</v>
      </c>
      <c r="H49" s="0" t="n">
        <f aca="false">IF(H36-$F$55&gt;0,H36-$F$55,0)</f>
        <v>0.2325</v>
      </c>
      <c r="I49" s="0" t="n">
        <f aca="false">IF(I36-$F$55&gt;0,I36-$F$55,0)</f>
        <v>0.2645</v>
      </c>
      <c r="J49" s="0" t="n">
        <f aca="false">IF(J36-$F$55&gt;0,J36-$F$55,0)</f>
        <v>0.4075</v>
      </c>
      <c r="K49" s="0" t="n">
        <f aca="false">IF(K36-$F$55&gt;0,K36-$F$55,0)</f>
        <v>0.2905</v>
      </c>
      <c r="L49" s="0" t="n">
        <f aca="false">IF(L36-$F$55&gt;0,L36-$F$55,0)</f>
        <v>0.2335</v>
      </c>
      <c r="M49" s="0" t="n">
        <f aca="false">IF(M36-$F$55&gt;0,M36-$F$55,0)</f>
        <v>0.3325</v>
      </c>
      <c r="N49" s="0" t="n">
        <f aca="false">IF(N36-$F$55&gt;0,N36-$F$55,0)</f>
        <v>0.5675</v>
      </c>
      <c r="O49" s="0" t="n">
        <f aca="false">IF(O36-$F$55&gt;0,O36-$F$55,0)</f>
        <v>0.2445</v>
      </c>
      <c r="P49" s="0" t="n">
        <f aca="false">IF(P36-$F$55&gt;0,P36-$F$55,0)</f>
        <v>0</v>
      </c>
      <c r="Q49" s="0" t="n">
        <f aca="false">IF(Q36-$F$55&gt;0,Q36-$F$55,0)</f>
        <v>0</v>
      </c>
    </row>
    <row r="50" customFormat="false" ht="13.8" hidden="false" customHeight="false" outlineLevel="0" collapsed="false">
      <c r="A50" s="0" t="s">
        <v>36</v>
      </c>
      <c r="B50" s="0" t="n">
        <f aca="false">35/(105+35)</f>
        <v>0.25</v>
      </c>
      <c r="C50" s="6" t="n">
        <f aca="false">D50</f>
        <v>25600</v>
      </c>
      <c r="D50" s="6" t="n">
        <f aca="false">(1/B50)*D49</f>
        <v>25600</v>
      </c>
      <c r="E50" s="7" t="n">
        <f aca="false">1/D50</f>
        <v>3.90625E-005</v>
      </c>
      <c r="F50" s="0" t="n">
        <f aca="false">IF(F37-$F$55&gt;0,F37-$F$55,0)</f>
        <v>0.0865</v>
      </c>
      <c r="G50" s="0" t="n">
        <f aca="false">IF(G37-$F$55&gt;0,G37-$F$55,0)</f>
        <v>0.0245</v>
      </c>
      <c r="H50" s="0" t="n">
        <f aca="false">IF(H37-$F$55&gt;0,H37-$F$55,0)</f>
        <v>0.0485</v>
      </c>
      <c r="I50" s="0" t="n">
        <f aca="false">IF(I37-$F$55&gt;0,I37-$F$55,0)</f>
        <v>0.3015</v>
      </c>
      <c r="J50" s="0" t="n">
        <f aca="false">IF(J37-$F$55&gt;0,J37-$F$55,0)</f>
        <v>0.2335</v>
      </c>
      <c r="K50" s="0" t="n">
        <f aca="false">IF(K37-$F$55&gt;0,K37-$F$55,0)</f>
        <v>0.2685</v>
      </c>
      <c r="L50" s="0" t="n">
        <f aca="false">IF(L37-$F$55&gt;0,L37-$F$55,0)</f>
        <v>0.0285</v>
      </c>
      <c r="M50" s="0" t="n">
        <f aca="false">IF(M37-$F$55&gt;0,M37-$F$55,0)</f>
        <v>0.2695</v>
      </c>
      <c r="N50" s="0" t="n">
        <f aca="false">IF(N37-$F$55&gt;0,N37-$F$55,0)</f>
        <v>0.4515</v>
      </c>
      <c r="O50" s="0" t="n">
        <f aca="false">IF(O37-$F$55&gt;0,O37-$F$55,0)</f>
        <v>0.1385</v>
      </c>
      <c r="P50" s="0" t="n">
        <f aca="false">IF(P37-$F$55&gt;0,P37-$F$55,0)</f>
        <v>0</v>
      </c>
      <c r="Q50" s="0" t="n">
        <f aca="false">IF(Q37-$F$55&gt;0,Q37-$F$55,0)</f>
        <v>0</v>
      </c>
    </row>
    <row r="51" customFormat="false" ht="13.8" hidden="false" customHeight="false" outlineLevel="0" collapsed="false">
      <c r="A51" s="0" t="s">
        <v>37</v>
      </c>
      <c r="B51" s="0" t="n">
        <f aca="false">35/(105+35)</f>
        <v>0.25</v>
      </c>
      <c r="C51" s="6" t="n">
        <f aca="false">D51</f>
        <v>102400</v>
      </c>
      <c r="D51" s="6" t="n">
        <f aca="false">(1/B51)*D50</f>
        <v>102400</v>
      </c>
      <c r="E51" s="7" t="n">
        <f aca="false">1/D51</f>
        <v>9.765625E-006</v>
      </c>
      <c r="F51" s="0" t="n">
        <f aca="false">IF(F38-$F$55&gt;0,F38-$F$55,0)</f>
        <v>0.0505</v>
      </c>
      <c r="G51" s="0" t="n">
        <f aca="false">IF(G38-$F$55&gt;0,G38-$F$55,0)</f>
        <v>0.0575</v>
      </c>
      <c r="H51" s="0" t="n">
        <f aca="false">IF(H38-$F$55&gt;0,H38-$F$55,0)</f>
        <v>0</v>
      </c>
      <c r="I51" s="0" t="n">
        <f aca="false">IF(I38-$F$55&gt;0,I38-$F$55,0)</f>
        <v>0.0375</v>
      </c>
      <c r="J51" s="0" t="n">
        <f aca="false">IF(J38-$F$55&gt;0,J38-$F$55,0)</f>
        <v>0.00850000000000001</v>
      </c>
      <c r="K51" s="0" t="n">
        <f aca="false">IF(K38-$F$55&gt;0,K38-$F$55,0)</f>
        <v>0.1615</v>
      </c>
      <c r="L51" s="0" t="n">
        <f aca="false">IF(L38-$F$55&gt;0,L38-$F$55,0)</f>
        <v>0</v>
      </c>
      <c r="M51" s="0" t="n">
        <f aca="false">IF(M38-$F$55&gt;0,M38-$F$55,0)</f>
        <v>0.0175</v>
      </c>
      <c r="N51" s="0" t="n">
        <f aca="false">IF(N38-$F$55&gt;0,N38-$F$55,0)</f>
        <v>0.0915</v>
      </c>
      <c r="O51" s="0" t="n">
        <f aca="false">IF(O38-$F$55&gt;0,O38-$F$55,0)</f>
        <v>0.1235</v>
      </c>
      <c r="P51" s="0" t="n">
        <f aca="false">IF(P38-$F$55&gt;0,P38-$F$55,0)</f>
        <v>0.00750000000000001</v>
      </c>
      <c r="Q51" s="0" t="n">
        <f aca="false">IF(Q38-$F$55&gt;0,Q38-$F$55,0)</f>
        <v>0</v>
      </c>
    </row>
    <row r="52" customFormat="false" ht="13.8" hidden="false" customHeight="false" outlineLevel="0" collapsed="false">
      <c r="A52" s="0" t="s">
        <v>38</v>
      </c>
      <c r="B52" s="0" t="n">
        <f aca="false">35/(105+35)</f>
        <v>0.25</v>
      </c>
      <c r="C52" s="6" t="n">
        <f aca="false">D52</f>
        <v>409600</v>
      </c>
      <c r="D52" s="6" t="n">
        <f aca="false">(1/B52)*D51</f>
        <v>409600</v>
      </c>
      <c r="E52" s="7" t="n">
        <f aca="false">1/D52</f>
        <v>2.44140625E-006</v>
      </c>
      <c r="F52" s="0" t="n">
        <f aca="false">IF(F39-$F$55&gt;0,F39-$F$55,0)</f>
        <v>0.0495</v>
      </c>
      <c r="G52" s="0" t="n">
        <f aca="false">IF(G39-$F$55&gt;0,G39-$F$55,0)</f>
        <v>0.00750000000000001</v>
      </c>
      <c r="H52" s="0" t="n">
        <f aca="false">IF(H39-$F$55&gt;0,H39-$F$55,0)</f>
        <v>0</v>
      </c>
      <c r="I52" s="0" t="n">
        <f aca="false">IF(I39-$F$55&gt;0,I39-$F$55,0)</f>
        <v>0</v>
      </c>
      <c r="J52" s="0" t="n">
        <f aca="false">IF(J39-$F$55&gt;0,J39-$F$55,0)</f>
        <v>0.0015</v>
      </c>
      <c r="K52" s="0" t="n">
        <f aca="false">IF(K39-$F$55&gt;0,K39-$F$55,0)</f>
        <v>0</v>
      </c>
      <c r="L52" s="0" t="n">
        <f aca="false">IF(L39-$F$55&gt;0,L39-$F$55,0)</f>
        <v>0</v>
      </c>
      <c r="M52" s="0" t="n">
        <f aca="false">IF(M39-$F$55&gt;0,M39-$F$55,0)</f>
        <v>0</v>
      </c>
      <c r="N52" s="0" t="n">
        <f aca="false">IF(N39-$F$55&gt;0,N39-$F$55,0)</f>
        <v>0.1135</v>
      </c>
      <c r="O52" s="0" t="n">
        <f aca="false">IF(O39-$F$55&gt;0,O39-$F$55,0)</f>
        <v>0.1255</v>
      </c>
      <c r="P52" s="0" t="n">
        <f aca="false">IF(P39-$F$55&gt;0,P39-$F$55,0)</f>
        <v>0.0365</v>
      </c>
      <c r="Q52" s="0" t="n">
        <f aca="false">IF(Q39-$F$55&gt;0,Q39-$F$55,0)</f>
        <v>0</v>
      </c>
    </row>
    <row r="53" customFormat="false" ht="13.8" hidden="false" customHeight="false" outlineLevel="0" collapsed="false">
      <c r="A53" s="0" t="s">
        <v>39</v>
      </c>
      <c r="B53" s="0" t="n">
        <f aca="false">35/(105+35)</f>
        <v>0.25</v>
      </c>
      <c r="C53" s="6" t="n">
        <f aca="false">D53</f>
        <v>1638400</v>
      </c>
      <c r="D53" s="6" t="n">
        <f aca="false">(1/B53)*D52</f>
        <v>1638400</v>
      </c>
      <c r="E53" s="7" t="n">
        <f aca="false">1/D53</f>
        <v>6.103515625E-007</v>
      </c>
      <c r="F53" s="0" t="n">
        <f aca="false">IF(F40-$F$55&gt;0,F40-$F$55,0)</f>
        <v>0.0525</v>
      </c>
      <c r="G53" s="0" t="n">
        <f aca="false">IF(G40-$F$55&gt;0,G40-$F$55,0)</f>
        <v>0.0695</v>
      </c>
      <c r="H53" s="0" t="n">
        <f aca="false">IF(H40-$F$55&gt;0,H40-$F$55,0)</f>
        <v>0.0245</v>
      </c>
      <c r="I53" s="0" t="n">
        <f aca="false">IF(I40-$F$55&gt;0,I40-$F$55,0)</f>
        <v>0.0325</v>
      </c>
      <c r="J53" s="0" t="n">
        <f aca="false">IF(J40-$F$55&gt;0,J40-$F$55,0)</f>
        <v>0.0465</v>
      </c>
      <c r="K53" s="0" t="n">
        <f aca="false">IF(K40-$F$55&gt;0,K40-$F$55,0)</f>
        <v>0.0175</v>
      </c>
      <c r="L53" s="0" t="n">
        <f aca="false">IF(L40-$F$55&gt;0,L40-$F$55,0)</f>
        <v>0.0615</v>
      </c>
      <c r="M53" s="0" t="n">
        <f aca="false">IF(M40-$F$55&gt;0,M40-$F$55,0)</f>
        <v>0.0445</v>
      </c>
      <c r="N53" s="0" t="n">
        <f aca="false">IF(N40-$F$55&gt;0,N40-$F$55,0)</f>
        <v>0.2345</v>
      </c>
      <c r="O53" s="0" t="n">
        <f aca="false">IF(O40-$F$55&gt;0,O40-$F$55,0)</f>
        <v>0.1505</v>
      </c>
      <c r="P53" s="8"/>
      <c r="Q53" s="9"/>
    </row>
    <row r="54" customFormat="false" ht="13.8" hidden="false" customHeight="false" outlineLevel="0" collapsed="false">
      <c r="D54" s="0" t="n">
        <f aca="false">D48+(D48*3.3)</f>
        <v>6880</v>
      </c>
    </row>
    <row r="55" customFormat="false" ht="13.8" hidden="false" customHeight="false" outlineLevel="0" collapsed="false">
      <c r="D55" s="10" t="n">
        <f aca="false">D49+(D49*2.5)</f>
        <v>22400</v>
      </c>
      <c r="E55" s="10"/>
      <c r="F55" s="11" t="n">
        <f aca="false">AVERAGE(P40:Q40)</f>
        <v>0.1265</v>
      </c>
      <c r="G55" s="12" t="s">
        <v>54</v>
      </c>
      <c r="H55" s="13"/>
      <c r="I55" s="13"/>
      <c r="J55" s="13"/>
      <c r="K55" s="13"/>
      <c r="L55" s="13"/>
      <c r="M55" s="14"/>
      <c r="N55" s="15"/>
      <c r="O55" s="10"/>
      <c r="P55" s="10"/>
      <c r="Q55" s="13"/>
      <c r="R55" s="13"/>
    </row>
    <row r="56" customFormat="false" ht="13.8" hidden="false" customHeight="false" outlineLevel="0" collapsed="false">
      <c r="D56" s="0" t="n">
        <f aca="false">D48+(D48*0.7)</f>
        <v>2720</v>
      </c>
    </row>
    <row r="57" s="16" customFormat="true" ht="23.85" hidden="false" customHeight="false" outlineLevel="0" collapsed="false">
      <c r="A57" s="0"/>
      <c r="B57" s="0"/>
      <c r="C57" s="0"/>
      <c r="F57" s="17" t="s">
        <v>55</v>
      </c>
      <c r="G57" s="18" t="s">
        <v>56</v>
      </c>
      <c r="H57" s="17" t="s">
        <v>57</v>
      </c>
      <c r="I57" s="18" t="s">
        <v>58</v>
      </c>
      <c r="J57" s="17" t="s">
        <v>59</v>
      </c>
      <c r="K57" s="18" t="s">
        <v>60</v>
      </c>
      <c r="L57" s="17" t="s">
        <v>61</v>
      </c>
      <c r="M57" s="18" t="s">
        <v>62</v>
      </c>
      <c r="N57" s="17" t="s">
        <v>63</v>
      </c>
      <c r="O57" s="18" t="s">
        <v>64</v>
      </c>
      <c r="P57" s="17" t="s">
        <v>65</v>
      </c>
      <c r="Q57" s="18" t="s">
        <v>66</v>
      </c>
    </row>
    <row r="58" customFormat="false" ht="13.8" hidden="false" customHeight="false" outlineLevel="0" collapsed="false">
      <c r="F58" s="19" t="n">
        <f aca="false">AVERAGE(F46:G46)</f>
        <v>0.4125</v>
      </c>
      <c r="G58" s="20" t="n">
        <f aca="false">((F$70-F$73)/(1+($E46/F$72)^F$71))+F$73</f>
        <v>0.412107186241289</v>
      </c>
      <c r="H58" s="19" t="n">
        <f aca="false">AVERAGE(H46:I46)</f>
        <v>0.434</v>
      </c>
      <c r="I58" s="20" t="n">
        <f aca="false">((H$70-H$73)/(1+($E46/H$72)^H$71))+H$73</f>
        <v>0.468729625395307</v>
      </c>
      <c r="J58" s="19" t="n">
        <f aca="false">AVERAGE(J46:K46)</f>
        <v>0.2265</v>
      </c>
      <c r="K58" s="20" t="n">
        <f aca="false">((J$70-J$73)/(1+($E46/J$72)^J$71))+J$73</f>
        <v>0.399817037305775</v>
      </c>
      <c r="L58" s="19" t="n">
        <f aca="false">AVERAGE(L46:M46)</f>
        <v>0.3875</v>
      </c>
      <c r="M58" s="20" t="n">
        <f aca="false">((L$70-L$73)/(1+($E46/L$72)^L$71))+L$73</f>
        <v>0.386497085589771</v>
      </c>
      <c r="N58" s="19" t="n">
        <f aca="false">AVERAGE(N46:O46)</f>
        <v>2.651</v>
      </c>
      <c r="O58" s="20" t="n">
        <f aca="false">((N$70-N$73)/(1+($E46/N$72)^N$71))+N$73</f>
        <v>2.41977272727273</v>
      </c>
      <c r="P58" s="19" t="n">
        <f aca="false">AVERAGE(P46:Q46)</f>
        <v>0.00800000000000001</v>
      </c>
      <c r="Q58" s="20" t="n">
        <f aca="false">((P$70-P$73)/(1+($E46/P$72)^P$71))+P$73</f>
        <v>0.0871287128712871</v>
      </c>
    </row>
    <row r="59" customFormat="false" ht="13.8" hidden="false" customHeight="false" outlineLevel="0" collapsed="false">
      <c r="F59" s="19" t="n">
        <f aca="false">AVERAGE(F47:G47)</f>
        <v>0.411</v>
      </c>
      <c r="G59" s="20" t="n">
        <f aca="false">((F$70-F$73)/(1+($E47/F$72)^F$71))+F$73</f>
        <v>0.406309961589321</v>
      </c>
      <c r="H59" s="19" t="n">
        <f aca="false">AVERAGE(H47:I47)</f>
        <v>0.476</v>
      </c>
      <c r="I59" s="20" t="n">
        <f aca="false">((H$70-H$73)/(1+($E47/H$72)^H$71))+H$73</f>
        <v>0.451626966974562</v>
      </c>
      <c r="J59" s="19" t="n">
        <f aca="false">AVERAGE(J47:K47)</f>
        <v>0.3825</v>
      </c>
      <c r="K59" s="20" t="n">
        <f aca="false">((J$70-J$73)/(1+($E47/J$72)^J$71))+J$73</f>
        <v>0.398893286171918</v>
      </c>
      <c r="L59" s="19" t="n">
        <f aca="false">AVERAGE(L47:M47)</f>
        <v>0.384</v>
      </c>
      <c r="M59" s="20" t="n">
        <f aca="false">((L$70-L$73)/(1+($E47/L$72)^L$71))+L$73</f>
        <v>0.382264554208739</v>
      </c>
      <c r="N59" s="19" t="n">
        <f aca="false">AVERAGE(N47:O47)</f>
        <v>1.8885</v>
      </c>
      <c r="O59" s="20" t="n">
        <f aca="false">((N$70-N$73)/(1+($E47/N$72)^N$71))+N$73</f>
        <v>1.92428571428571</v>
      </c>
      <c r="P59" s="19" t="n">
        <f aca="false">AVERAGE(P47:Q47)</f>
        <v>0.088</v>
      </c>
      <c r="Q59" s="20" t="n">
        <f aca="false">((P$70-P$73)/(1+($E47/P$72)^P$71))+P$73</f>
        <v>0.0758620689655172</v>
      </c>
    </row>
    <row r="60" customFormat="false" ht="13.8" hidden="false" customHeight="false" outlineLevel="0" collapsed="false">
      <c r="F60" s="19" t="n">
        <f aca="false">AVERAGE(F48:G48)</f>
        <v>0.313</v>
      </c>
      <c r="G60" s="20" t="n">
        <f aca="false">((F$70-F$73)/(1+($E48/F$72)^F$71))+F$73</f>
        <v>0.332744206683231</v>
      </c>
      <c r="H60" s="19" t="n">
        <f aca="false">AVERAGE(H48:I48)</f>
        <v>0.448</v>
      </c>
      <c r="I60" s="20" t="n">
        <f aca="false">((H$70-H$73)/(1+($E48/H$72)^H$71))+H$73</f>
        <v>0.400880601418669</v>
      </c>
      <c r="J60" s="19" t="n">
        <f aca="false">AVERAGE(J48:K48)</f>
        <v>1.0035</v>
      </c>
      <c r="K60" s="20" t="n">
        <f aca="false">((J$70-J$73)/(1+($E48/J$72)^J$71))+J$73</f>
        <v>0.393382891564327</v>
      </c>
      <c r="L60" s="19" t="n">
        <f aca="false">AVERAGE(L48:M48)</f>
        <v>0.2945</v>
      </c>
      <c r="M60" s="20" t="n">
        <f aca="false">((L$70-L$73)/(1+($E48/L$72)^L$71))+L$73</f>
        <v>0.361377051326092</v>
      </c>
      <c r="N60" s="19" t="n">
        <f aca="false">AVERAGE(N48:O48)</f>
        <v>0.9255</v>
      </c>
      <c r="O60" s="20" t="n">
        <f aca="false">((N$70-N$73)/(1+($E48/N$72)^N$71))+N$73</f>
        <v>1.08576923076923</v>
      </c>
      <c r="P60" s="19" t="n">
        <f aca="false">AVERAGE(P48:Q48)</f>
        <v>0.022</v>
      </c>
      <c r="Q60" s="20" t="n">
        <f aca="false">((P$70-P$73)/(1+($E48/P$72)^P$71))+P$73</f>
        <v>0.0247191011235955</v>
      </c>
    </row>
    <row r="61" customFormat="false" ht="13.8" hidden="false" customHeight="false" outlineLevel="0" collapsed="false">
      <c r="F61" s="19" t="n">
        <f aca="false">AVERAGE(F49:G49)</f>
        <v>0.086</v>
      </c>
      <c r="G61" s="20" t="n">
        <f aca="false">((F$70-F$73)/(1+($E49/F$72)^F$71))+F$73</f>
        <v>0.102427132489743</v>
      </c>
      <c r="H61" s="19" t="n">
        <f aca="false">AVERAGE(H49:I49)</f>
        <v>0.2485</v>
      </c>
      <c r="I61" s="20" t="n">
        <f aca="false">((H$70-H$73)/(1+($E49/H$72)^H$71))+H$73</f>
        <v>0.289174095295853</v>
      </c>
      <c r="J61" s="19" t="n">
        <f aca="false">AVERAGE(J49:K49)</f>
        <v>0.349</v>
      </c>
      <c r="K61" s="20" t="n">
        <f aca="false">((J$70-J$73)/(1+($E49/J$72)^J$71))+J$73</f>
        <v>0.362983563943753</v>
      </c>
      <c r="L61" s="19" t="n">
        <f aca="false">AVERAGE(L49:M49)</f>
        <v>0.283</v>
      </c>
      <c r="M61" s="20" t="n">
        <f aca="false">((L$70-L$73)/(1+($E49/L$72)^L$71))+L$73</f>
        <v>0.28048524941125</v>
      </c>
      <c r="N61" s="19" t="n">
        <f aca="false">AVERAGE(N49:O49)</f>
        <v>0.406</v>
      </c>
      <c r="O61" s="20" t="n">
        <f aca="false">((N$70-N$73)/(1+($E49/N$72)^N$71))+N$73</f>
        <v>0.451216216216216</v>
      </c>
      <c r="P61" s="19" t="n">
        <f aca="false">AVERAGE(P49:Q49)</f>
        <v>0</v>
      </c>
      <c r="Q61" s="20" t="n">
        <f aca="false">((P$70-P$73)/(1+($E49/P$72)^P$71))+P$73</f>
        <v>0.00209723546234509</v>
      </c>
    </row>
    <row r="62" customFormat="false" ht="13.8" hidden="false" customHeight="false" outlineLevel="0" collapsed="false">
      <c r="F62" s="19" t="n">
        <f aca="false">AVERAGE(F50:G50)</f>
        <v>0.0555</v>
      </c>
      <c r="G62" s="20" t="n">
        <f aca="false">((F$70-F$73)/(1+($E50/F$72)^F$71))+F$73</f>
        <v>0.0341380326648819</v>
      </c>
      <c r="H62" s="19" t="n">
        <f aca="false">AVERAGE(H50:I50)</f>
        <v>0.175</v>
      </c>
      <c r="I62" s="20" t="n">
        <f aca="false">((H$70-H$73)/(1+($E50/H$72)^H$71))+H$73</f>
        <v>0.149926401960821</v>
      </c>
      <c r="J62" s="19" t="n">
        <f aca="false">AVERAGE(J50:K50)</f>
        <v>0.251</v>
      </c>
      <c r="K62" s="20" t="n">
        <f aca="false">((J$70-J$73)/(1+($E50/J$72)^J$71))+J$73</f>
        <v>0.247206406432867</v>
      </c>
      <c r="L62" s="19" t="n">
        <f aca="false">AVERAGE(L50:M50)</f>
        <v>0.149</v>
      </c>
      <c r="M62" s="20" t="n">
        <f aca="false">((L$70-L$73)/(1+($E50/L$72)^L$71))+L$73</f>
        <v>0.128577343317557</v>
      </c>
      <c r="N62" s="19" t="n">
        <f aca="false">AVERAGE(N50:O50)</f>
        <v>0.295</v>
      </c>
      <c r="O62" s="20" t="n">
        <f aca="false">((N$70-N$73)/(1+($E50/N$72)^N$71))+N$73</f>
        <v>0.20312030075188</v>
      </c>
      <c r="P62" s="19" t="n">
        <f aca="false">AVERAGE(P50:Q50)</f>
        <v>0</v>
      </c>
      <c r="Q62" s="20" t="n">
        <f aca="false">((P$70-P$73)/(1+($E50/P$72)^P$71))+P$73</f>
        <v>0.000134072764946066</v>
      </c>
    </row>
    <row r="63" customFormat="false" ht="13.8" hidden="false" customHeight="false" outlineLevel="0" collapsed="false">
      <c r="F63" s="19" t="n">
        <f aca="false">AVERAGE(F51:G51)</f>
        <v>0.054</v>
      </c>
      <c r="G63" s="20" t="n">
        <f aca="false">((F$70-F$73)/(1+($E51/F$72)^F$71))+F$73</f>
        <v>0.0288572951116491</v>
      </c>
      <c r="H63" s="19" t="n">
        <f aca="false">AVERAGE(H51:I51)</f>
        <v>0.01875</v>
      </c>
      <c r="I63" s="20" t="n">
        <f aca="false">((H$70-H$73)/(1+($E51/H$72)^H$71))+H$73</f>
        <v>0.0611264655457718</v>
      </c>
      <c r="J63" s="19" t="n">
        <f aca="false">AVERAGE(J51:K51)</f>
        <v>0.085</v>
      </c>
      <c r="K63" s="20" t="n">
        <f aca="false">((J$70-J$73)/(1+($E51/J$72)^J$71))+J$73</f>
        <v>0.0843877684007126</v>
      </c>
      <c r="L63" s="19" t="n">
        <f aca="false">AVERAGE(L51:M51)</f>
        <v>0.00874999999999999</v>
      </c>
      <c r="M63" s="20" t="n">
        <f aca="false">((L$70-L$73)/(1+($E51/L$72)^L$71))+L$73</f>
        <v>0.0333229064383008</v>
      </c>
      <c r="N63" s="19" t="n">
        <f aca="false">AVERAGE(N51:O51)</f>
        <v>0.1075</v>
      </c>
      <c r="O63" s="20" t="n">
        <f aca="false">((N$70-N$73)/(1+($E51/N$72)^N$71))+N$73</f>
        <v>0.132098646034816</v>
      </c>
      <c r="P63" s="19" t="n">
        <f aca="false">AVERAGE(P51:Q51)</f>
        <v>0.00375</v>
      </c>
      <c r="Q63" s="20" t="n">
        <f aca="false">((P$70-P$73)/(1+($E51/P$72)^P$71))+P$73</f>
        <v>8.391533705358E-006</v>
      </c>
    </row>
    <row r="64" customFormat="false" ht="13.8" hidden="false" customHeight="false" outlineLevel="0" collapsed="false">
      <c r="F64" s="19" t="n">
        <f aca="false">AVERAGE(F52:G52)</f>
        <v>0.0285</v>
      </c>
      <c r="G64" s="20" t="n">
        <f aca="false">((F$70-F$73)/(1+($E52/F$72)^F$71))+F$73</f>
        <v>0.0285223504408239</v>
      </c>
      <c r="H64" s="19" t="n">
        <f aca="false">AVERAGE(H52:I52)</f>
        <v>0</v>
      </c>
      <c r="I64" s="20" t="n">
        <f aca="false">((H$70-H$73)/(1+($E52/H$72)^H$71))+H$73</f>
        <v>0.025927886477988</v>
      </c>
      <c r="J64" s="19" t="n">
        <f aca="false">AVERAGE(J52:K52)</f>
        <v>0.000750000000000001</v>
      </c>
      <c r="K64" s="20" t="n">
        <f aca="false">((J$70-J$73)/(1+($E52/J$72)^J$71))+J$73</f>
        <v>0.0170867984786105</v>
      </c>
      <c r="L64" s="19" t="n">
        <f aca="false">AVERAGE(L52:M52)</f>
        <v>0</v>
      </c>
      <c r="M64" s="20" t="n">
        <f aca="false">((L$70-L$73)/(1+($E52/L$72)^L$71))+L$73</f>
        <v>0.00678654357216427</v>
      </c>
      <c r="N64" s="19" t="n">
        <f aca="false">AVERAGE(N52:O52)</f>
        <v>0.1195</v>
      </c>
      <c r="O64" s="20" t="n">
        <f aca="false">((N$70-N$73)/(1+($E52/N$72)^N$71))+N$73</f>
        <v>0.11369459327813</v>
      </c>
      <c r="P64" s="19" t="n">
        <f aca="false">AVERAGE(P52:Q52)</f>
        <v>0.01825</v>
      </c>
      <c r="Q64" s="20" t="n">
        <f aca="false">((P$70-P$73)/(1+($E52/P$72)^P$71))+P$73</f>
        <v>5.24517747654035E-007</v>
      </c>
    </row>
    <row r="65" customFormat="false" ht="13.8" hidden="false" customHeight="false" outlineLevel="0" collapsed="false">
      <c r="F65" s="19" t="n">
        <f aca="false">AVERAGE(F53:G53)</f>
        <v>0.061</v>
      </c>
      <c r="G65" s="20" t="n">
        <f aca="false">((F$70-F$73)/(1+($E53/F$72)^F$71))+F$73</f>
        <v>0.0285013969787797</v>
      </c>
      <c r="H65" s="19" t="n">
        <f aca="false">AVERAGE(H53:I53)</f>
        <v>0.0285</v>
      </c>
      <c r="I65" s="20" t="n">
        <f aca="false">((H$70-H$73)/(1+($E53/H$72)^H$71))+H$73</f>
        <v>0.0146883120775369</v>
      </c>
      <c r="J65" s="19" t="n">
        <f aca="false">AVERAGE(J53:K53)</f>
        <v>0.032</v>
      </c>
      <c r="K65" s="20" t="n">
        <f aca="false">((J$70-J$73)/(1+($E53/J$72)^J$71))+J$73</f>
        <v>0.00312826880726376</v>
      </c>
      <c r="L65" s="19" t="n">
        <f aca="false">AVERAGE(L53:M53)</f>
        <v>0.053</v>
      </c>
      <c r="M65" s="20" t="n">
        <f aca="false">((L$70-L$73)/(1+($E53/L$72)^L$71))+L$73</f>
        <v>0.00130432503639328</v>
      </c>
      <c r="N65" s="19" t="n">
        <f aca="false">AVERAGE(N53:O53)</f>
        <v>0.1925</v>
      </c>
      <c r="O65" s="20" t="n">
        <f aca="false">((N$70-N$73)/(1+($E53/N$72)^N$71))+N$73</f>
        <v>0.109051482249604</v>
      </c>
      <c r="P65" s="19"/>
      <c r="Q65" s="20"/>
    </row>
    <row r="66" customFormat="false" ht="13.8" hidden="false" customHeight="false" outlineLevel="0" collapsed="false">
      <c r="F66" s="19"/>
      <c r="G66" s="20"/>
      <c r="H66" s="19"/>
      <c r="I66" s="20"/>
      <c r="J66" s="19"/>
      <c r="K66" s="20"/>
      <c r="L66" s="19"/>
      <c r="M66" s="20"/>
      <c r="N66" s="19"/>
      <c r="O66" s="20"/>
      <c r="P66" s="19"/>
      <c r="Q66" s="20"/>
    </row>
    <row r="67" customFormat="false" ht="13.8" hidden="false" customHeight="false" outlineLevel="0" collapsed="false">
      <c r="E67" s="0" t="s">
        <v>67</v>
      </c>
      <c r="F67" s="19" t="n">
        <v>0.09</v>
      </c>
      <c r="G67" s="21" t="n">
        <f aca="false">1/(F$72*((((F$70-F$73)/(F$67-F$73))-1)^(1/F$71)))</f>
        <v>7156.1152000298</v>
      </c>
      <c r="H67" s="19" t="n">
        <v>0.09</v>
      </c>
      <c r="I67" s="21" t="n">
        <f aca="false">1/(H$72*((((H$70-H$73)/(H$67-H$73))-1)^(1/H$71)))</f>
        <v>57470.0353260475</v>
      </c>
      <c r="J67" s="19" t="n">
        <v>0.09</v>
      </c>
      <c r="K67" s="21" t="n">
        <f aca="false">1/(J$72*((((J$70-J$73)/(J$67-J$73))-1)^(1/J$71)))</f>
        <v>96102.3726801001</v>
      </c>
      <c r="L67" s="19" t="n">
        <v>0.09</v>
      </c>
      <c r="M67" s="21" t="n">
        <f aca="false">1/(L$72*((((L$70-L$73)/(L$67-L$73))-1)^(1/L$71)))</f>
        <v>38690.6189327446</v>
      </c>
      <c r="N67" s="19"/>
      <c r="O67" s="20"/>
      <c r="P67" s="19" t="n">
        <v>0.02</v>
      </c>
      <c r="Q67" s="21" t="n">
        <f aca="false">1/(P$72*((((P$70-P$73)/(P$67-P$73))-1)^(1/P$71)))</f>
        <v>1843.90889145858</v>
      </c>
    </row>
    <row r="68" customFormat="false" ht="13.8" hidden="false" customHeight="false" outlineLevel="0" collapsed="false">
      <c r="E68" s="0" t="s">
        <v>68</v>
      </c>
      <c r="F68" s="19"/>
      <c r="G68" s="22" t="n">
        <f aca="false">G67/$Q$67</f>
        <v>3.88094836636377</v>
      </c>
      <c r="H68" s="19"/>
      <c r="I68" s="22" t="n">
        <f aca="false">I67/$Q$67</f>
        <v>31.1675026853346</v>
      </c>
      <c r="J68" s="19"/>
      <c r="K68" s="22" t="n">
        <f aca="false">K67/$Q$67</f>
        <v>52.1188292573831</v>
      </c>
      <c r="L68" s="19"/>
      <c r="M68" s="22" t="n">
        <f aca="false">M67/$Q$67</f>
        <v>20.9829341959187</v>
      </c>
      <c r="N68" s="19"/>
      <c r="O68" s="21"/>
      <c r="P68" s="19"/>
      <c r="Q68" s="21"/>
    </row>
    <row r="69" s="16" customFormat="true" ht="23.85" hidden="false" customHeight="false" outlineLevel="0" collapsed="false">
      <c r="A69" s="0"/>
      <c r="D69" s="23" t="s">
        <v>69</v>
      </c>
      <c r="F69" s="24"/>
      <c r="G69" s="25" t="s">
        <v>70</v>
      </c>
      <c r="H69" s="24"/>
      <c r="I69" s="25" t="s">
        <v>70</v>
      </c>
      <c r="J69" s="24"/>
      <c r="K69" s="25" t="s">
        <v>70</v>
      </c>
      <c r="L69" s="24"/>
      <c r="M69" s="25" t="s">
        <v>70</v>
      </c>
      <c r="N69" s="24"/>
      <c r="O69" s="25" t="s">
        <v>70</v>
      </c>
      <c r="P69" s="24"/>
      <c r="Q69" s="25" t="s">
        <v>70</v>
      </c>
    </row>
    <row r="70" customFormat="false" ht="13.8" hidden="false" customHeight="false" outlineLevel="0" collapsed="false">
      <c r="B70" s="0" t="s">
        <v>71</v>
      </c>
      <c r="D70" s="0" t="s">
        <v>72</v>
      </c>
      <c r="F70" s="0" t="n">
        <f aca="false">G70</f>
        <v>0.4125</v>
      </c>
      <c r="G70" s="20" t="n">
        <f aca="false">MAX(F58:F65)</f>
        <v>0.4125</v>
      </c>
      <c r="H70" s="0" t="n">
        <f aca="false">I70</f>
        <v>0.476</v>
      </c>
      <c r="I70" s="20" t="n">
        <f aca="false">MAX(H58:H65)</f>
        <v>0.476</v>
      </c>
      <c r="J70" s="0" t="n">
        <v>0.4</v>
      </c>
      <c r="K70" s="20" t="n">
        <f aca="false">MAX(J58:J65)</f>
        <v>1.0035</v>
      </c>
      <c r="L70" s="0" t="n">
        <f aca="false">M70</f>
        <v>0.3875</v>
      </c>
      <c r="M70" s="20" t="n">
        <f aca="false">MAX(L58:L65)</f>
        <v>0.3875</v>
      </c>
      <c r="N70" s="0" t="n">
        <f aca="false">O70</f>
        <v>2.651</v>
      </c>
      <c r="O70" s="20" t="n">
        <f aca="false">MAX(N58:N65)</f>
        <v>2.651</v>
      </c>
      <c r="P70" s="0" t="n">
        <f aca="false">Q70</f>
        <v>0.088</v>
      </c>
      <c r="Q70" s="20" t="n">
        <f aca="false">MAX(P58:P65)</f>
        <v>0.088</v>
      </c>
    </row>
    <row r="71" customFormat="false" ht="13.8" hidden="false" customHeight="false" outlineLevel="0" collapsed="false">
      <c r="B71" s="0" t="s">
        <v>73</v>
      </c>
      <c r="D71" s="0" t="s">
        <v>74</v>
      </c>
      <c r="F71" s="0" t="n">
        <v>-2</v>
      </c>
      <c r="G71" s="0" t="n">
        <v>-2</v>
      </c>
      <c r="H71" s="0" t="n">
        <v>-0.9</v>
      </c>
      <c r="I71" s="0" t="n">
        <v>-2</v>
      </c>
      <c r="J71" s="0" t="n">
        <v>-1.3</v>
      </c>
      <c r="K71" s="0" t="n">
        <v>-2</v>
      </c>
      <c r="L71" s="0" t="n">
        <v>-1.2</v>
      </c>
      <c r="M71" s="0" t="n">
        <v>-2</v>
      </c>
      <c r="N71" s="0" t="n">
        <v>-1</v>
      </c>
      <c r="O71" s="0" t="n">
        <v>-2</v>
      </c>
      <c r="P71" s="0" t="n">
        <v>-2</v>
      </c>
      <c r="Q71" s="0" t="n">
        <v>-2</v>
      </c>
    </row>
    <row r="72" customFormat="false" ht="13.8" hidden="false" customHeight="false" outlineLevel="0" collapsed="false">
      <c r="D72" s="0" t="s">
        <v>75</v>
      </c>
      <c r="F72" s="0" t="n">
        <v>0.00032</v>
      </c>
      <c r="G72" s="0" t="n">
        <v>0.002</v>
      </c>
      <c r="H72" s="0" t="n">
        <v>0.0001</v>
      </c>
      <c r="I72" s="0" t="n">
        <v>0.002</v>
      </c>
      <c r="J72" s="0" t="n">
        <v>2.7E-005</v>
      </c>
      <c r="K72" s="0" t="n">
        <v>0.002</v>
      </c>
      <c r="L72" s="0" t="n">
        <v>7E-005</v>
      </c>
      <c r="M72" s="0" t="n">
        <v>0.002</v>
      </c>
      <c r="N72" s="0" t="n">
        <v>0.001</v>
      </c>
      <c r="O72" s="0" t="n">
        <v>0.002</v>
      </c>
      <c r="P72" s="0" t="n">
        <v>0.001</v>
      </c>
      <c r="Q72" s="0" t="n">
        <v>0.002</v>
      </c>
    </row>
    <row r="73" customFormat="false" ht="13.8" hidden="false" customHeight="false" outlineLevel="0" collapsed="false">
      <c r="B73" s="0" t="s">
        <v>76</v>
      </c>
      <c r="D73" s="0" t="s">
        <v>77</v>
      </c>
      <c r="F73" s="0" t="n">
        <f aca="false">G73</f>
        <v>0.0285</v>
      </c>
      <c r="G73" s="20" t="n">
        <f aca="false">MIN(F58:F65)</f>
        <v>0.0285</v>
      </c>
      <c r="H73" s="0" t="n">
        <v>0.01</v>
      </c>
      <c r="I73" s="20" t="n">
        <f aca="false">MIN(H58:H65)</f>
        <v>0</v>
      </c>
      <c r="J73" s="0" t="n">
        <f aca="false">K73/3</f>
        <v>0.00025</v>
      </c>
      <c r="K73" s="20" t="n">
        <f aca="false">MIN(J58:J65)</f>
        <v>0.000750000000000001</v>
      </c>
      <c r="L73" s="0" t="n">
        <f aca="false">M73/3</f>
        <v>0</v>
      </c>
      <c r="M73" s="20" t="n">
        <f aca="false">MIN(L58:L65)</f>
        <v>0</v>
      </c>
      <c r="N73" s="0" t="n">
        <f aca="false">O73</f>
        <v>0.1075</v>
      </c>
      <c r="O73" s="20" t="n">
        <f aca="false">MIN(N58:N65)</f>
        <v>0.1075</v>
      </c>
      <c r="P73" s="0" t="n">
        <v>0</v>
      </c>
      <c r="Q73" s="20" t="n">
        <f aca="false">MIN(P58:P65)</f>
        <v>0</v>
      </c>
    </row>
    <row r="74" customFormat="false" ht="13.8" hidden="false" customHeight="false" outlineLevel="0" collapsed="false">
      <c r="F74" s="19"/>
      <c r="G74" s="20"/>
      <c r="H74" s="19"/>
      <c r="I74" s="20"/>
      <c r="J74" s="19"/>
      <c r="K74" s="20"/>
      <c r="L74" s="19"/>
      <c r="M74" s="20"/>
      <c r="N74" s="19"/>
      <c r="O74" s="20"/>
      <c r="P74" s="19"/>
      <c r="Q74" s="20"/>
    </row>
    <row r="75" customFormat="false" ht="13.8" hidden="false" customHeight="false" outlineLevel="0" collapsed="false">
      <c r="F75" s="19"/>
      <c r="G75" s="20"/>
      <c r="H75" s="19"/>
      <c r="I75" s="20"/>
      <c r="J75" s="19"/>
      <c r="K75" s="20"/>
      <c r="L75" s="19"/>
      <c r="M75" s="20"/>
      <c r="N75" s="19"/>
      <c r="O75" s="20"/>
      <c r="P75" s="19"/>
      <c r="Q75" s="20"/>
    </row>
    <row r="76" customFormat="false" ht="13.8" hidden="false" customHeight="false" outlineLevel="0" collapsed="false">
      <c r="F76" s="19"/>
      <c r="G76" s="20"/>
      <c r="H76" s="19"/>
      <c r="I76" s="20"/>
      <c r="J76" s="19"/>
      <c r="K76" s="20"/>
      <c r="L76" s="19"/>
      <c r="M76" s="20"/>
      <c r="N76" s="19"/>
      <c r="O76" s="20"/>
      <c r="P76" s="19"/>
      <c r="Q76" s="20"/>
    </row>
    <row r="77" customFormat="false" ht="13.8" hidden="false" customHeight="false" outlineLevel="0" collapsed="false">
      <c r="F77" s="19"/>
      <c r="G77" s="26" t="s">
        <v>78</v>
      </c>
      <c r="H77" s="19"/>
      <c r="I77" s="26" t="s">
        <v>78</v>
      </c>
      <c r="J77" s="19"/>
      <c r="K77" s="26" t="s">
        <v>78</v>
      </c>
      <c r="L77" s="19"/>
      <c r="M77" s="26" t="s">
        <v>78</v>
      </c>
      <c r="N77" s="19"/>
      <c r="O77" s="26" t="s">
        <v>78</v>
      </c>
      <c r="P77" s="19"/>
      <c r="Q77" s="26" t="s">
        <v>78</v>
      </c>
    </row>
    <row r="78" customFormat="false" ht="13.8" hidden="false" customHeight="false" outlineLevel="0" collapsed="false">
      <c r="F78" s="19"/>
      <c r="G78" s="20" t="n">
        <f aca="false">(F58-G58)^2</f>
        <v>1.54302649032688E-007</v>
      </c>
      <c r="H78" s="19"/>
      <c r="I78" s="20" t="n">
        <f aca="false">(H58-I58)^2</f>
        <v>0.00120614688009838</v>
      </c>
      <c r="J78" s="19"/>
      <c r="K78" s="20" t="n">
        <f aca="false">(J58-K58)^2</f>
        <v>0.0300387954204514</v>
      </c>
      <c r="L78" s="19"/>
      <c r="M78" s="20" t="n">
        <f aca="false">(L58-M58)^2</f>
        <v>1.00583731424473E-006</v>
      </c>
      <c r="N78" s="19"/>
      <c r="O78" s="20" t="n">
        <f aca="false">(N58-O58)^2</f>
        <v>0.0534660516528926</v>
      </c>
      <c r="P78" s="19"/>
      <c r="Q78" s="20" t="n">
        <f aca="false">(P58-Q58)^2</f>
        <v>0.0062613532006666</v>
      </c>
    </row>
    <row r="79" customFormat="false" ht="13.8" hidden="false" customHeight="false" outlineLevel="0" collapsed="false">
      <c r="F79" s="19"/>
      <c r="G79" s="20" t="n">
        <f aca="false">(F59-G59)^2</f>
        <v>2.19964602936475E-005</v>
      </c>
      <c r="H79" s="19"/>
      <c r="I79" s="20" t="n">
        <f aca="false">(H59-I59)^2</f>
        <v>0.000594044738859101</v>
      </c>
      <c r="J79" s="19"/>
      <c r="K79" s="20" t="n">
        <f aca="false">(J59-K59)^2</f>
        <v>0.000268739831514392</v>
      </c>
      <c r="L79" s="19"/>
      <c r="M79" s="20" t="n">
        <f aca="false">(L59-M59)^2</f>
        <v>3.01177209440399E-006</v>
      </c>
      <c r="N79" s="19"/>
      <c r="O79" s="20" t="n">
        <f aca="false">(N59-O59)^2</f>
        <v>0.00128061734693876</v>
      </c>
      <c r="P79" s="19"/>
      <c r="Q79" s="20" t="n">
        <f aca="false">(P59-Q59)^2</f>
        <v>0.00014732936979786</v>
      </c>
    </row>
    <row r="80" customFormat="false" ht="13.8" hidden="false" customHeight="false" outlineLevel="0" collapsed="false">
      <c r="F80" s="19"/>
      <c r="G80" s="20" t="n">
        <f aca="false">(F60-G60)^2</f>
        <v>0.000389833697550142</v>
      </c>
      <c r="H80" s="19"/>
      <c r="I80" s="20" t="n">
        <f aca="false">(H60-I60)^2</f>
        <v>0.00222023772266635</v>
      </c>
      <c r="J80" s="19"/>
      <c r="K80" s="20" t="n">
        <f aca="false">(J60-K60)^2</f>
        <v>0.372242886005907</v>
      </c>
      <c r="L80" s="19"/>
      <c r="M80" s="20" t="n">
        <f aca="false">(L60-M60)^2</f>
        <v>0.0044725399940728</v>
      </c>
      <c r="N80" s="19"/>
      <c r="O80" s="20" t="n">
        <f aca="false">(N60-O60)^2</f>
        <v>0.0256862263313609</v>
      </c>
      <c r="P80" s="19"/>
      <c r="Q80" s="20" t="n">
        <f aca="false">(P60-Q60)^2</f>
        <v>7.39351092033833E-006</v>
      </c>
    </row>
    <row r="81" customFormat="false" ht="13.8" hidden="false" customHeight="false" outlineLevel="0" collapsed="false">
      <c r="F81" s="19"/>
      <c r="G81" s="20" t="n">
        <f aca="false">(F61-G61)^2</f>
        <v>0.000269850681835557</v>
      </c>
      <c r="H81" s="19"/>
      <c r="I81" s="20" t="n">
        <f aca="false">(H61-I61)^2</f>
        <v>0.00165438202813615</v>
      </c>
      <c r="J81" s="19"/>
      <c r="K81" s="20" t="n">
        <f aca="false">(J61-K61)^2</f>
        <v>0.000195540060569041</v>
      </c>
      <c r="L81" s="19"/>
      <c r="M81" s="20" t="n">
        <f aca="false">(L61-M61)^2</f>
        <v>6.3239705236196E-006</v>
      </c>
      <c r="N81" s="19"/>
      <c r="O81" s="20" t="n">
        <f aca="false">(N61-O61)^2</f>
        <v>0.00204450620891162</v>
      </c>
      <c r="P81" s="19"/>
      <c r="Q81" s="20" t="n">
        <f aca="false">(P61-Q61)^2</f>
        <v>4.39839658451783E-006</v>
      </c>
    </row>
    <row r="82" customFormat="false" ht="13.8" hidden="false" customHeight="false" outlineLevel="0" collapsed="false">
      <c r="F82" s="19"/>
      <c r="G82" s="20" t="n">
        <f aca="false">(F62-G62)^2</f>
        <v>0.000456333648426652</v>
      </c>
      <c r="H82" s="19"/>
      <c r="I82" s="20" t="n">
        <f aca="false">(H62-I62)^2</f>
        <v>0.000628685318630329</v>
      </c>
      <c r="J82" s="19"/>
      <c r="K82" s="20" t="n">
        <f aca="false">(J62-K62)^2</f>
        <v>1.43913521525932E-005</v>
      </c>
      <c r="L82" s="19"/>
      <c r="M82" s="20" t="n">
        <f aca="false">(L62-M62)^2</f>
        <v>0.00041708490596895</v>
      </c>
      <c r="N82" s="19"/>
      <c r="O82" s="20" t="n">
        <f aca="false">(N62-O62)^2</f>
        <v>0.00844187913392504</v>
      </c>
      <c r="P82" s="19"/>
      <c r="Q82" s="20" t="n">
        <f aca="false">(P62-Q62)^2</f>
        <v>1.79755063002831E-008</v>
      </c>
    </row>
    <row r="83" customFormat="false" ht="13.8" hidden="false" customHeight="false" outlineLevel="0" collapsed="false">
      <c r="F83" s="19"/>
      <c r="G83" s="20" t="n">
        <f aca="false">(F63-G63)^2</f>
        <v>0.000632155609102706</v>
      </c>
      <c r="H83" s="19"/>
      <c r="I83" s="20" t="n">
        <f aca="false">(H63-I63)^2</f>
        <v>0.00179576483215199</v>
      </c>
      <c r="J83" s="19"/>
      <c r="K83" s="20" t="n">
        <f aca="false">(J63-K63)^2</f>
        <v>3.74827531166027E-007</v>
      </c>
      <c r="L83" s="19"/>
      <c r="M83" s="20" t="n">
        <f aca="false">(L63-M63)^2</f>
        <v>0.000603827730825485</v>
      </c>
      <c r="N83" s="19"/>
      <c r="O83" s="20" t="n">
        <f aca="false">(N63-O63)^2</f>
        <v>0.000605093386746181</v>
      </c>
      <c r="P83" s="19"/>
      <c r="Q83" s="20" t="n">
        <f aca="false">(P63-Q63)^2</f>
        <v>1.39996339150477E-005</v>
      </c>
    </row>
    <row r="84" customFormat="false" ht="13.8" hidden="false" customHeight="false" outlineLevel="0" collapsed="false">
      <c r="F84" s="19"/>
      <c r="G84" s="20" t="n">
        <f aca="false">(F64-G64)^2</f>
        <v>4.99542205022304E-010</v>
      </c>
      <c r="H84" s="19"/>
      <c r="I84" s="20" t="n">
        <f aca="false">(H64-I64)^2</f>
        <v>0.000672255297215431</v>
      </c>
      <c r="J84" s="19"/>
      <c r="K84" s="20" t="n">
        <f aca="false">(J64-K64)^2</f>
        <v>0.00026689098453073</v>
      </c>
      <c r="L84" s="19"/>
      <c r="M84" s="20" t="n">
        <f aca="false">(L64-M64)^2</f>
        <v>4.60571736568842E-005</v>
      </c>
      <c r="N84" s="19"/>
      <c r="O84" s="20" t="n">
        <f aca="false">(N64-O64)^2</f>
        <v>3.37027472063385E-005</v>
      </c>
      <c r="P84" s="19"/>
      <c r="Q84" s="20" t="n">
        <f aca="false">(P64-Q64)^2</f>
        <v>0.000333043355377329</v>
      </c>
    </row>
    <row r="85" customFormat="false" ht="13.8" hidden="false" customHeight="false" outlineLevel="0" collapsed="false">
      <c r="F85" s="27"/>
      <c r="G85" s="28" t="n">
        <f aca="false">(F65-G65)^2</f>
        <v>0.00105615919833087</v>
      </c>
      <c r="H85" s="27"/>
      <c r="I85" s="28" t="n">
        <f aca="false">(H65-I65)^2</f>
        <v>0.000190762723267514</v>
      </c>
      <c r="J85" s="27"/>
      <c r="K85" s="28" t="n">
        <f aca="false">(J65-K65)^2</f>
        <v>0.000833576862065619</v>
      </c>
      <c r="L85" s="27"/>
      <c r="M85" s="28" t="n">
        <f aca="false">(L65-M65)^2</f>
        <v>0.00267244280994287</v>
      </c>
      <c r="N85" s="27"/>
      <c r="O85" s="28" t="n">
        <f aca="false">(N65-O65)^2</f>
        <v>0.00696365511473824</v>
      </c>
      <c r="P85" s="27"/>
      <c r="Q85" s="28" t="n">
        <f aca="false">(P65-Q65)^2</f>
        <v>0</v>
      </c>
    </row>
    <row r="86" customFormat="false" ht="13.8" hidden="false" customHeight="false" outlineLevel="0" collapsed="false">
      <c r="G86" s="29" t="n">
        <f aca="false">SUM(G78:G85)</f>
        <v>0.00282648409773081</v>
      </c>
      <c r="I86" s="29" t="n">
        <f aca="false">SUM(I78:I85)</f>
        <v>0.00896227954102524</v>
      </c>
      <c r="K86" s="29" t="n">
        <f aca="false">SUM(K78:K85)</f>
        <v>0.403861195344722</v>
      </c>
      <c r="M86" s="29" t="n">
        <f aca="false">SUM(M78:M85)</f>
        <v>0.00822229419439926</v>
      </c>
      <c r="O86" s="29" t="n">
        <f aca="false">SUM(O78:O85)</f>
        <v>0.0985217319227197</v>
      </c>
      <c r="Q86" s="29" t="n">
        <f aca="false">SUM(Q78:Q85)</f>
        <v>0.00676753544276799</v>
      </c>
    </row>
    <row r="109" customFormat="false" ht="13.8" hidden="false" customHeight="false" outlineLevel="0" collapsed="false">
      <c r="L109" s="20"/>
    </row>
    <row r="110" customFormat="false" ht="13.8" hidden="false" customHeight="false" outlineLevel="0" collapsed="false">
      <c r="L110" s="20"/>
    </row>
    <row r="111" customFormat="false" ht="13.8" hidden="false" customHeight="false" outlineLevel="0" collapsed="false">
      <c r="L111" s="20"/>
    </row>
    <row r="112" customFormat="false" ht="13.8" hidden="false" customHeight="false" outlineLevel="0" collapsed="false">
      <c r="L112" s="20"/>
    </row>
  </sheetData>
  <printOptions headings="false" gridLines="false" gridLinesSet="true" horizontalCentered="false" verticalCentered="false"/>
  <pageMargins left="0.7875" right="0.7875" top="1.15138888888889" bottom="1.15138888888889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10232</TotalTime>
  <Application>LibreOffice/7.0.4.2$Linux_X86_64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2021-03-08T21:34:20Z</dcterms:created>
  <dc:creator>Brian</dc:creator>
  <dc:description/>
  <dc:language>en-US</dc:language>
  <cp:lastModifiedBy/>
  <dcterms:modified xsi:type="dcterms:W3CDTF">2021-04-25T14:29:29Z</dcterms:modified>
  <cp:revision>94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